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560" tabRatio="500" activeTab="0"/>
  </bookViews>
  <sheets>
    <sheet name="一覧表" sheetId="1" r:id="rId1"/>
    <sheet name="人数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'一覧表'!$A$1:$L$68</definedName>
    <definedName name="_xlnm.Print_Area" localSheetId="1">'人数'!$A$1:$O$43</definedName>
    <definedName name="_xlnm.Print_Titles" localSheetId="0">'一覧表'!$1:$12</definedName>
    <definedName name="リレー">'一覧表'!$P$13</definedName>
    <definedName name="女子種目">'一覧表'!$S$13:$S$31</definedName>
    <definedName name="性別">'一覧表'!$Q$13:$Q$14</definedName>
    <definedName name="男子種目">'一覧表'!$R$13:$R$38</definedName>
  </definedNames>
  <calcPr fullCalcOnLoad="1"/>
</workbook>
</file>

<file path=xl/sharedStrings.xml><?xml version="1.0" encoding="utf-8"?>
<sst xmlns="http://schemas.openxmlformats.org/spreadsheetml/2006/main" count="267" uniqueCount="143">
  <si>
    <t>Ａ４用紙(コピーも同じサイズで）</t>
  </si>
  <si>
    <t>ﾌ    ﾘ    ｶﾞ   ﾅ</t>
  </si>
  <si>
    <t>加入団体(学校)名</t>
  </si>
  <si>
    <t>申込責任者 氏 名</t>
  </si>
  <si>
    <t>連　絡  先</t>
  </si>
  <si>
    <t>メールアドレス</t>
  </si>
  <si>
    <t>男子ﾘﾚｰ記録</t>
  </si>
  <si>
    <t>(夜間あるいは携帯)</t>
  </si>
  <si>
    <t>女子ﾘﾚｰ記録</t>
  </si>
  <si>
    <r>
      <t>新</t>
    </r>
    <r>
      <rPr>
        <sz val="6"/>
        <rFont val="ＭＳ 明朝"/>
        <family val="1"/>
      </rPr>
      <t xml:space="preserve">       ナンバー</t>
    </r>
  </si>
  <si>
    <t>氏　　名</t>
  </si>
  <si>
    <t>性別</t>
  </si>
  <si>
    <t>学年</t>
  </si>
  <si>
    <t>4×100</t>
  </si>
  <si>
    <t>4×400</t>
  </si>
  <si>
    <t>種目</t>
  </si>
  <si>
    <t>記録</t>
  </si>
  <si>
    <t>種目</t>
  </si>
  <si>
    <t>参加者</t>
  </si>
  <si>
    <t>例</t>
  </si>
  <si>
    <t>愛知　太郎</t>
  </si>
  <si>
    <t>男</t>
  </si>
  <si>
    <t>やり投</t>
  </si>
  <si>
    <t>参加料</t>
  </si>
  <si>
    <t>個人種目</t>
  </si>
  <si>
    <t>円</t>
  </si>
  <si>
    <t>リ　レ　ー</t>
  </si>
  <si>
    <t>円</t>
  </si>
  <si>
    <t>プログラム</t>
  </si>
  <si>
    <t>※記録も記入</t>
  </si>
  <si>
    <t>合計金額(振込金額)</t>
  </si>
  <si>
    <t>※男子の次に女子を一行開けて記入</t>
  </si>
  <si>
    <t>種 目 別 申 込 人 数 一 覧 表</t>
  </si>
  <si>
    <t>A4サイズ</t>
  </si>
  <si>
    <t>団体名</t>
  </si>
  <si>
    <t>申込一覧表と、この種目別申込人数一覧表で　　　　　　　　申込みください。個人申込票は必要ありません。</t>
  </si>
  <si>
    <t>男　　　子</t>
  </si>
  <si>
    <t>女　　　　　子</t>
  </si>
  <si>
    <t>種　　　目</t>
  </si>
  <si>
    <t>種　　　目</t>
  </si>
  <si>
    <t>申込人数</t>
  </si>
  <si>
    <t>１００ｍ</t>
  </si>
  <si>
    <t>女</t>
  </si>
  <si>
    <t>２００ｍ</t>
  </si>
  <si>
    <t>４００ｍ</t>
  </si>
  <si>
    <t>８００ｍ</t>
  </si>
  <si>
    <t>１５００ｍ</t>
  </si>
  <si>
    <t>５０００ｍ</t>
  </si>
  <si>
    <t>３０００ｍ</t>
  </si>
  <si>
    <t>１１０ｍ</t>
  </si>
  <si>
    <t>Ｈ</t>
  </si>
  <si>
    <t>SC</t>
  </si>
  <si>
    <t>Ｗ</t>
  </si>
  <si>
    <t>Ｗ</t>
  </si>
  <si>
    <t>走　高　跳</t>
  </si>
  <si>
    <t>走　幅　跳</t>
  </si>
  <si>
    <t>三　段　跳</t>
  </si>
  <si>
    <t>砲　丸　投</t>
  </si>
  <si>
    <t>円　盤　投</t>
  </si>
  <si>
    <t>高校砲丸投(6.000kg)</t>
  </si>
  <si>
    <t>ハンマー投</t>
  </si>
  <si>
    <t>円　盤　投
(2.000kg)</t>
  </si>
  <si>
    <t>や　り　投</t>
  </si>
  <si>
    <t>高校円盤投
(1.750kg)</t>
  </si>
  <si>
    <t>合計申込人数</t>
  </si>
  <si>
    <t>ハンマー投
(7.260kg)</t>
  </si>
  <si>
    <t>４×１００ｍ</t>
  </si>
  <si>
    <t>高校ハンマー投
(6.000kg)</t>
  </si>
  <si>
    <t>４×４００ｍ</t>
  </si>
  <si>
    <t>合計申込チーム数</t>
  </si>
  <si>
    <t>リレー</t>
  </si>
  <si>
    <t>性別</t>
  </si>
  <si>
    <t>男子種目</t>
  </si>
  <si>
    <t>女子種目</t>
  </si>
  <si>
    <t>○</t>
  </si>
  <si>
    <t>男</t>
  </si>
  <si>
    <t>100m</t>
  </si>
  <si>
    <t>女</t>
  </si>
  <si>
    <t>200m</t>
  </si>
  <si>
    <t>400m</t>
  </si>
  <si>
    <t>800m</t>
  </si>
  <si>
    <t>1500m</t>
  </si>
  <si>
    <t>5000m</t>
  </si>
  <si>
    <t>3000m</t>
  </si>
  <si>
    <t>110mH</t>
  </si>
  <si>
    <t>100mH</t>
  </si>
  <si>
    <t>400mH</t>
  </si>
  <si>
    <t>3000mSC</t>
  </si>
  <si>
    <t>5000mW</t>
  </si>
  <si>
    <t>走幅跳</t>
  </si>
  <si>
    <t>砲丸投</t>
  </si>
  <si>
    <t>円盤投</t>
  </si>
  <si>
    <t>高校砲丸投</t>
  </si>
  <si>
    <t>ﾊﾝﾏｰ投</t>
  </si>
  <si>
    <t>やり投</t>
  </si>
  <si>
    <t>高校円盤投</t>
  </si>
  <si>
    <t>高校ﾊﾝﾏｰ投</t>
  </si>
  <si>
    <t>印</t>
  </si>
  <si>
    <t>(電 話 番 号)</t>
  </si>
  <si>
    <t>TEL</t>
  </si>
  <si>
    <t xml:space="preserve"> ﾌ ﾘ ｶﾞﾅ</t>
  </si>
  <si>
    <t>ｱｲﾁ ﾀﾛｳ</t>
  </si>
  <si>
    <t>○</t>
  </si>
  <si>
    <t>円</t>
  </si>
  <si>
    <t>×</t>
  </si>
  <si>
    <t>種目</t>
  </si>
  <si>
    <t>１部 1000</t>
  </si>
  <si>
    <t>部</t>
  </si>
  <si>
    <t>少110mYH</t>
  </si>
  <si>
    <t>走高跳A</t>
  </si>
  <si>
    <t>走高跳B</t>
  </si>
  <si>
    <t>棒高跳A</t>
  </si>
  <si>
    <t>棒高跳B</t>
  </si>
  <si>
    <t>三段跳A</t>
  </si>
  <si>
    <t>三段跳B</t>
  </si>
  <si>
    <t>少B砲丸投</t>
  </si>
  <si>
    <t>少B100mYH</t>
  </si>
  <si>
    <t>国体選考･強化普及競技会申込一覧表</t>
  </si>
  <si>
    <t>国体選考･強化普及競技会申込一覧表　50人用</t>
  </si>
  <si>
    <t>YH</t>
  </si>
  <si>
    <t>Ａ</t>
  </si>
  <si>
    <t>Ｂ</t>
  </si>
  <si>
    <t>棒　高　跳</t>
  </si>
  <si>
    <t>少年Ｂ１００ｍ</t>
  </si>
  <si>
    <t>少年１１０ｍ</t>
  </si>
  <si>
    <t>1列</t>
  </si>
  <si>
    <t>2列</t>
  </si>
  <si>
    <t>計</t>
  </si>
  <si>
    <t>5000mW</t>
  </si>
  <si>
    <t>砲　丸　投(7.260kg)</t>
  </si>
  <si>
    <t>少年B砲丸投(5.000kg)</t>
  </si>
  <si>
    <t>400mH</t>
  </si>
  <si>
    <t>5000mW</t>
  </si>
  <si>
    <t>棒高跳</t>
  </si>
  <si>
    <t>M400R</t>
  </si>
  <si>
    <t>M16R</t>
  </si>
  <si>
    <t>F4R</t>
  </si>
  <si>
    <t>F16R</t>
  </si>
  <si>
    <t>ｍ４ｒ</t>
  </si>
  <si>
    <t>ｍ１６ｒ</t>
  </si>
  <si>
    <t>ｆ４ｒ</t>
  </si>
  <si>
    <t>ｆ１６ｒ</t>
  </si>
  <si>
    <t>参加料等払込受領証
　　コピー貼付欄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</si>
</sst>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name val="ＤＨＰ平成明朝体W7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22"/>
      <name val="ＤＨＰ平成明朝体W7"/>
      <family val="0"/>
    </font>
    <font>
      <sz val="24"/>
      <name val="ＤＨＰ平成明朝体W7"/>
      <family val="0"/>
    </font>
    <font>
      <sz val="11"/>
      <name val="ＤＨＰ平成明朝体W7"/>
      <family val="0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ＤＦ平成明朝体W7"/>
      <family val="0"/>
    </font>
    <font>
      <sz val="11"/>
      <name val="ＭＳ Ｐゴシック"/>
      <family val="0"/>
    </font>
    <font>
      <sz val="16"/>
      <name val="ＭＳ Ｐゴシック"/>
      <family val="3"/>
    </font>
    <font>
      <i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hair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/>
      <bottom style="hair"/>
    </border>
    <border>
      <left/>
      <right/>
      <top style="medium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 style="hair"/>
      <right/>
      <top style="medium"/>
      <bottom style="medium"/>
    </border>
    <border>
      <left style="hair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 style="hair"/>
      <top style="medium"/>
      <bottom style="medium"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hair"/>
      <right/>
      <top style="medium"/>
      <bottom style="thin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hair"/>
      <right/>
      <top style="thin"/>
      <bottom style="medium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1" fillId="0" borderId="3" applyNumberFormat="0" applyFill="0" applyAlignment="0" applyProtection="0"/>
    <xf numFmtId="0" fontId="36" fillId="3" borderId="0" applyNumberFormat="0" applyBorder="0" applyAlignment="0" applyProtection="0"/>
    <xf numFmtId="0" fontId="40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9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35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 quotePrefix="1">
      <alignment horizontal="center" vertical="center"/>
    </xf>
    <xf numFmtId="0" fontId="14" fillId="0" borderId="16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 shrinkToFit="1"/>
    </xf>
    <xf numFmtId="0" fontId="2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right" vertical="center" shrinkToFit="1"/>
    </xf>
    <xf numFmtId="0" fontId="27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0" fontId="27" fillId="0" borderId="39" xfId="0" applyFont="1" applyBorder="1" applyAlignment="1">
      <alignment horizontal="distributed" vertical="center"/>
    </xf>
    <xf numFmtId="0" fontId="27" fillId="0" borderId="36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horizontal="distributed" vertical="center" shrinkToFit="1"/>
    </xf>
    <xf numFmtId="0" fontId="27" fillId="0" borderId="36" xfId="0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right" vertical="center"/>
    </xf>
    <xf numFmtId="0" fontId="14" fillId="0" borderId="4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0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shrinkToFit="1"/>
    </xf>
    <xf numFmtId="0" fontId="18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vertical="center"/>
      <protection locked="0"/>
    </xf>
    <xf numFmtId="0" fontId="10" fillId="0" borderId="57" xfId="0" applyFont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18" fillId="0" borderId="70" xfId="0" applyFont="1" applyBorder="1" applyAlignment="1" applyProtection="1">
      <alignment horizontal="center" vertical="center"/>
      <protection hidden="1"/>
    </xf>
    <xf numFmtId="0" fontId="28" fillId="0" borderId="70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7" fillId="0" borderId="71" xfId="0" applyFont="1" applyBorder="1" applyAlignment="1" quotePrefix="1">
      <alignment horizontal="center" vertical="center"/>
    </xf>
    <xf numFmtId="0" fontId="7" fillId="0" borderId="46" xfId="0" applyFont="1" applyBorder="1" applyAlignment="1" quotePrefix="1">
      <alignment horizontal="center" vertical="center"/>
    </xf>
    <xf numFmtId="0" fontId="7" fillId="0" borderId="72" xfId="0" applyFont="1" applyBorder="1" applyAlignment="1" quotePrefix="1">
      <alignment horizontal="center" vertical="center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18" fillId="0" borderId="75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 quotePrefix="1">
      <alignment horizontal="center" vertical="center"/>
      <protection locked="0"/>
    </xf>
    <xf numFmtId="0" fontId="2" fillId="0" borderId="76" xfId="0" applyFont="1" applyBorder="1" applyAlignment="1" applyProtection="1" quotePrefix="1">
      <alignment horizontal="center" vertical="center"/>
      <protection locked="0"/>
    </xf>
    <xf numFmtId="0" fontId="2" fillId="0" borderId="74" xfId="0" applyFont="1" applyBorder="1" applyAlignment="1" applyProtection="1" quotePrefix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48" xfId="0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  <xf numFmtId="0" fontId="13" fillId="0" borderId="61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quotePrefix="1">
      <alignment horizontal="center" vertical="center"/>
    </xf>
    <xf numFmtId="0" fontId="9" fillId="0" borderId="76" xfId="0" applyFont="1" applyBorder="1" applyAlignment="1" quotePrefix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9" fillId="0" borderId="82" xfId="0" applyFont="1" applyBorder="1" applyAlignment="1" quotePrefix="1">
      <alignment horizontal="center" vertical="center"/>
    </xf>
    <xf numFmtId="0" fontId="9" fillId="0" borderId="40" xfId="0" applyFont="1" applyBorder="1" applyAlignment="1" quotePrefix="1">
      <alignment horizontal="center" vertical="center"/>
    </xf>
    <xf numFmtId="0" fontId="9" fillId="0" borderId="34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9" fillId="0" borderId="31" xfId="0" applyFont="1" applyBorder="1" applyAlignment="1" quotePrefix="1">
      <alignment horizontal="center" vertical="center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9" fillId="0" borderId="75" xfId="0" applyFont="1" applyBorder="1" applyAlignment="1" quotePrefix="1">
      <alignment horizontal="center" vertical="center" shrinkToFit="1"/>
    </xf>
    <xf numFmtId="0" fontId="9" fillId="0" borderId="83" xfId="0" applyFont="1" applyBorder="1" applyAlignment="1" quotePrefix="1">
      <alignment horizontal="center" vertical="center" shrinkToFit="1"/>
    </xf>
    <xf numFmtId="0" fontId="9" fillId="0" borderId="84" xfId="0" applyFont="1" applyBorder="1" applyAlignment="1" quotePrefix="1">
      <alignment horizontal="center" vertical="center" shrinkToFit="1"/>
    </xf>
    <xf numFmtId="0" fontId="9" fillId="0" borderId="85" xfId="0" applyFont="1" applyBorder="1" applyAlignment="1" quotePrefix="1">
      <alignment horizontal="center" vertical="center" shrinkToFit="1"/>
    </xf>
    <xf numFmtId="0" fontId="7" fillId="0" borderId="8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8" fillId="0" borderId="87" xfId="0" applyFont="1" applyBorder="1" applyAlignment="1" quotePrefix="1">
      <alignment horizontal="center" vertical="center" shrinkToFit="1"/>
    </xf>
    <xf numFmtId="0" fontId="8" fillId="0" borderId="54" xfId="0" applyFont="1" applyBorder="1" applyAlignment="1" quotePrefix="1">
      <alignment horizontal="center" vertical="center" shrinkToFit="1"/>
    </xf>
    <xf numFmtId="0" fontId="11" fillId="0" borderId="87" xfId="0" applyFont="1" applyBorder="1" applyAlignment="1" quotePrefix="1">
      <alignment horizontal="center" vertical="center" shrinkToFit="1"/>
    </xf>
    <xf numFmtId="0" fontId="11" fillId="0" borderId="54" xfId="0" applyFont="1" applyBorder="1" applyAlignment="1" quotePrefix="1">
      <alignment horizontal="center" vertical="center" shrinkToFit="1"/>
    </xf>
    <xf numFmtId="0" fontId="11" fillId="0" borderId="5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shrinkToFit="1"/>
      <protection hidden="1"/>
    </xf>
    <xf numFmtId="0" fontId="21" fillId="0" borderId="30" xfId="0" applyFont="1" applyBorder="1" applyAlignment="1" applyProtection="1">
      <alignment horizontal="center" shrinkToFit="1"/>
      <protection hidden="1"/>
    </xf>
    <xf numFmtId="0" fontId="21" fillId="0" borderId="31" xfId="0" applyFont="1" applyBorder="1" applyAlignment="1" applyProtection="1">
      <alignment horizontal="center" shrinkToFit="1"/>
      <protection hidden="1"/>
    </xf>
    <xf numFmtId="0" fontId="20" fillId="0" borderId="12" xfId="0" applyFont="1" applyBorder="1" applyAlignment="1">
      <alignment horizontal="left" shrinkToFit="1"/>
    </xf>
    <xf numFmtId="0" fontId="20" fillId="0" borderId="30" xfId="0" applyFont="1" applyBorder="1" applyAlignment="1">
      <alignment horizontal="left" shrinkToFit="1"/>
    </xf>
    <xf numFmtId="0" fontId="20" fillId="0" borderId="31" xfId="0" applyFont="1" applyBorder="1" applyAlignment="1">
      <alignment horizontal="left" shrinkToFit="1"/>
    </xf>
    <xf numFmtId="0" fontId="20" fillId="0" borderId="0" xfId="0" applyFont="1" applyAlignment="1">
      <alignment horizontal="center" shrinkToFit="1"/>
    </xf>
    <xf numFmtId="0" fontId="0" fillId="0" borderId="40" xfId="0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PageLayoutView="0" workbookViewId="0" topLeftCell="A2">
      <selection activeCell="M6" sqref="M6"/>
    </sheetView>
  </sheetViews>
  <sheetFormatPr defaultColWidth="8.875" defaultRowHeight="14.25"/>
  <cols>
    <col min="1" max="1" width="2.625" style="30" customWidth="1"/>
    <col min="2" max="2" width="7.625" style="1" customWidth="1"/>
    <col min="3" max="4" width="13.125" style="1" customWidth="1"/>
    <col min="5" max="5" width="3.875" style="1" customWidth="1"/>
    <col min="6" max="6" width="4.00390625" style="1" customWidth="1"/>
    <col min="7" max="10" width="11.125" style="1" customWidth="1"/>
    <col min="11" max="12" width="8.375" style="1" customWidth="1"/>
    <col min="13" max="14" width="8.875" style="1" customWidth="1"/>
    <col min="15" max="15" width="0" style="1" hidden="1" customWidth="1"/>
    <col min="16" max="22" width="8.875" style="1" hidden="1" customWidth="1"/>
    <col min="23" max="27" width="0" style="1" hidden="1" customWidth="1"/>
    <col min="28" max="16384" width="8.875" style="1" customWidth="1"/>
  </cols>
  <sheetData>
    <row r="1" spans="1:13" ht="26.25">
      <c r="A1" s="219" t="s">
        <v>118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6"/>
    </row>
    <row r="2" spans="1:12" ht="15" thickBot="1">
      <c r="A2" s="2"/>
      <c r="F2" s="3"/>
      <c r="G2" s="3"/>
      <c r="H2" s="3"/>
      <c r="L2" s="4" t="s">
        <v>0</v>
      </c>
    </row>
    <row r="3" spans="1:12" ht="15.75" customHeight="1">
      <c r="A3" s="234" t="s">
        <v>1</v>
      </c>
      <c r="B3" s="235"/>
      <c r="C3" s="235"/>
      <c r="D3" s="178"/>
      <c r="E3" s="179"/>
      <c r="F3" s="179"/>
      <c r="G3" s="179"/>
      <c r="H3" s="179"/>
      <c r="I3" s="179"/>
      <c r="J3" s="179"/>
      <c r="K3" s="179"/>
      <c r="L3" s="180"/>
    </row>
    <row r="4" spans="1:12" ht="30.75" customHeight="1" thickBot="1">
      <c r="A4" s="202" t="s">
        <v>2</v>
      </c>
      <c r="B4" s="203"/>
      <c r="C4" s="203"/>
      <c r="D4" s="181"/>
      <c r="E4" s="182"/>
      <c r="F4" s="182"/>
      <c r="G4" s="182"/>
      <c r="H4" s="182"/>
      <c r="I4" s="182"/>
      <c r="J4" s="182"/>
      <c r="K4" s="182"/>
      <c r="L4" s="183"/>
    </row>
    <row r="5" spans="1:12" ht="30" customHeight="1">
      <c r="A5" s="204" t="s">
        <v>3</v>
      </c>
      <c r="B5" s="205"/>
      <c r="C5" s="205"/>
      <c r="D5" s="217"/>
      <c r="E5" s="218"/>
      <c r="F5" s="218"/>
      <c r="G5" s="218"/>
      <c r="H5" s="218"/>
      <c r="I5" s="218"/>
      <c r="J5" s="218"/>
      <c r="K5" s="218"/>
      <c r="L5" s="93" t="s">
        <v>97</v>
      </c>
    </row>
    <row r="6" spans="1:12" ht="30" customHeight="1">
      <c r="A6" s="211" t="s">
        <v>4</v>
      </c>
      <c r="B6" s="212"/>
      <c r="C6" s="213"/>
      <c r="D6" s="199"/>
      <c r="E6" s="200"/>
      <c r="F6" s="200"/>
      <c r="G6" s="200"/>
      <c r="H6" s="200"/>
      <c r="I6" s="200"/>
      <c r="J6" s="200"/>
      <c r="K6" s="200"/>
      <c r="L6" s="201"/>
    </row>
    <row r="7" spans="1:12" ht="30" customHeight="1" thickBot="1">
      <c r="A7" s="214" t="s">
        <v>5</v>
      </c>
      <c r="B7" s="215"/>
      <c r="C7" s="216"/>
      <c r="D7" s="195"/>
      <c r="E7" s="196"/>
      <c r="F7" s="196"/>
      <c r="G7" s="196"/>
      <c r="H7" s="196"/>
      <c r="I7" s="197"/>
      <c r="J7" s="197"/>
      <c r="K7" s="197"/>
      <c r="L7" s="198"/>
    </row>
    <row r="8" spans="1:12" ht="18.75" customHeight="1">
      <c r="A8" s="206" t="s">
        <v>98</v>
      </c>
      <c r="B8" s="207"/>
      <c r="C8" s="208"/>
      <c r="D8" s="94" t="s">
        <v>99</v>
      </c>
      <c r="E8" s="184"/>
      <c r="F8" s="184"/>
      <c r="G8" s="184"/>
      <c r="H8" s="185"/>
      <c r="I8" s="209" t="s">
        <v>6</v>
      </c>
      <c r="J8" s="210"/>
      <c r="K8" s="114"/>
      <c r="L8" s="115"/>
    </row>
    <row r="9" spans="1:12" ht="18.75" customHeight="1" thickBot="1">
      <c r="A9" s="171" t="s">
        <v>7</v>
      </c>
      <c r="B9" s="172"/>
      <c r="C9" s="173"/>
      <c r="D9" s="95" t="s">
        <v>99</v>
      </c>
      <c r="E9" s="186"/>
      <c r="F9" s="186"/>
      <c r="G9" s="186"/>
      <c r="H9" s="187"/>
      <c r="I9" s="174" t="s">
        <v>8</v>
      </c>
      <c r="J9" s="175"/>
      <c r="K9" s="116"/>
      <c r="L9" s="117"/>
    </row>
    <row r="10" spans="1:12" ht="12" customHeight="1">
      <c r="A10" s="225"/>
      <c r="B10" s="227" t="s">
        <v>9</v>
      </c>
      <c r="C10" s="229" t="s">
        <v>10</v>
      </c>
      <c r="D10" s="231" t="s">
        <v>100</v>
      </c>
      <c r="E10" s="227" t="s">
        <v>11</v>
      </c>
      <c r="F10" s="227" t="s">
        <v>12</v>
      </c>
      <c r="G10" s="193">
        <v>1</v>
      </c>
      <c r="H10" s="194"/>
      <c r="I10" s="193">
        <v>3</v>
      </c>
      <c r="J10" s="220"/>
      <c r="K10" s="106" t="s">
        <v>13</v>
      </c>
      <c r="L10" s="5" t="s">
        <v>14</v>
      </c>
    </row>
    <row r="11" spans="1:12" ht="14.25">
      <c r="A11" s="226"/>
      <c r="B11" s="228"/>
      <c r="C11" s="230"/>
      <c r="D11" s="232"/>
      <c r="E11" s="233"/>
      <c r="F11" s="233"/>
      <c r="G11" s="6" t="s">
        <v>15</v>
      </c>
      <c r="H11" s="7" t="s">
        <v>16</v>
      </c>
      <c r="I11" s="6" t="s">
        <v>17</v>
      </c>
      <c r="J11" s="104" t="s">
        <v>16</v>
      </c>
      <c r="K11" s="107" t="s">
        <v>18</v>
      </c>
      <c r="L11" s="8" t="s">
        <v>18</v>
      </c>
    </row>
    <row r="12" spans="1:26" ht="14.25">
      <c r="A12" s="9" t="s">
        <v>19</v>
      </c>
      <c r="B12" s="10">
        <v>1234</v>
      </c>
      <c r="C12" s="11" t="s">
        <v>20</v>
      </c>
      <c r="D12" s="12" t="s">
        <v>101</v>
      </c>
      <c r="E12" s="13" t="s">
        <v>21</v>
      </c>
      <c r="F12" s="11">
        <v>2</v>
      </c>
      <c r="G12" s="14">
        <v>100</v>
      </c>
      <c r="H12" s="15">
        <v>1088</v>
      </c>
      <c r="I12" s="16" t="s">
        <v>22</v>
      </c>
      <c r="J12" s="105">
        <v>5862</v>
      </c>
      <c r="K12" s="108" t="s">
        <v>102</v>
      </c>
      <c r="L12" s="112" t="s">
        <v>102</v>
      </c>
      <c r="P12" s="1" t="s">
        <v>70</v>
      </c>
      <c r="Q12" s="1" t="s">
        <v>71</v>
      </c>
      <c r="R12" s="1" t="s">
        <v>72</v>
      </c>
      <c r="S12" s="1" t="s">
        <v>73</v>
      </c>
      <c r="U12" s="1" t="s">
        <v>125</v>
      </c>
      <c r="V12" s="1" t="s">
        <v>126</v>
      </c>
      <c r="W12" s="1" t="s">
        <v>134</v>
      </c>
      <c r="X12" s="1" t="s">
        <v>135</v>
      </c>
      <c r="Y12" s="1" t="s">
        <v>136</v>
      </c>
      <c r="Z12" s="1" t="s">
        <v>137</v>
      </c>
    </row>
    <row r="13" spans="1:26" ht="26.25" customHeight="1">
      <c r="A13" s="17">
        <v>1</v>
      </c>
      <c r="B13" s="141"/>
      <c r="C13" s="118"/>
      <c r="D13" s="142"/>
      <c r="E13" s="118"/>
      <c r="F13" s="118"/>
      <c r="G13" s="119"/>
      <c r="H13" s="143"/>
      <c r="I13" s="119"/>
      <c r="J13" s="144"/>
      <c r="K13" s="120"/>
      <c r="L13" s="121"/>
      <c r="N13" s="18"/>
      <c r="P13" s="1" t="s">
        <v>74</v>
      </c>
      <c r="Q13" s="1" t="s">
        <v>75</v>
      </c>
      <c r="R13" s="1" t="s">
        <v>76</v>
      </c>
      <c r="S13" s="1" t="s">
        <v>76</v>
      </c>
      <c r="U13" s="138">
        <f>E13&amp;G13</f>
      </c>
      <c r="V13" s="138">
        <f>E13&amp;I13</f>
      </c>
      <c r="W13" s="138">
        <f>E13&amp;K13</f>
      </c>
      <c r="X13" s="138">
        <f>E13&amp;L13</f>
      </c>
      <c r="Y13" s="138">
        <f>E13&amp;K13</f>
      </c>
      <c r="Z13" s="138">
        <f>E13&amp;L13</f>
      </c>
    </row>
    <row r="14" spans="1:26" ht="26.25" customHeight="1">
      <c r="A14" s="17">
        <v>2</v>
      </c>
      <c r="B14" s="141"/>
      <c r="C14" s="118"/>
      <c r="D14" s="142"/>
      <c r="E14" s="118"/>
      <c r="F14" s="118"/>
      <c r="G14" s="119"/>
      <c r="H14" s="143"/>
      <c r="I14" s="119"/>
      <c r="J14" s="144"/>
      <c r="K14" s="120"/>
      <c r="L14" s="121"/>
      <c r="Q14" s="1" t="s">
        <v>77</v>
      </c>
      <c r="R14" s="1" t="s">
        <v>78</v>
      </c>
      <c r="S14" s="1" t="s">
        <v>78</v>
      </c>
      <c r="U14" s="138">
        <f aca="true" t="shared" si="0" ref="U14:U62">E14&amp;G14</f>
      </c>
      <c r="V14" s="138">
        <f aca="true" t="shared" si="1" ref="V14:V62">E14&amp;I14</f>
      </c>
      <c r="W14" s="138">
        <f aca="true" t="shared" si="2" ref="W14:W62">E14&amp;K14</f>
      </c>
      <c r="X14" s="138">
        <f aca="true" t="shared" si="3" ref="X14:X62">E14&amp;L14</f>
      </c>
      <c r="Y14" s="138">
        <f aca="true" t="shared" si="4" ref="Y14:Y62">E14&amp;K14</f>
      </c>
      <c r="Z14" s="138">
        <f aca="true" t="shared" si="5" ref="Z14:Z62">E14&amp;L14</f>
      </c>
    </row>
    <row r="15" spans="1:33" ht="26.25" customHeight="1">
      <c r="A15" s="17">
        <v>3</v>
      </c>
      <c r="B15" s="141"/>
      <c r="C15" s="118"/>
      <c r="D15" s="142"/>
      <c r="E15" s="118"/>
      <c r="F15" s="118"/>
      <c r="G15" s="119"/>
      <c r="H15" s="143"/>
      <c r="I15" s="119"/>
      <c r="J15" s="144"/>
      <c r="K15" s="120"/>
      <c r="L15" s="121"/>
      <c r="R15" s="1" t="s">
        <v>79</v>
      </c>
      <c r="S15" s="1" t="s">
        <v>79</v>
      </c>
      <c r="U15" s="138">
        <f t="shared" si="0"/>
      </c>
      <c r="V15" s="138">
        <f t="shared" si="1"/>
      </c>
      <c r="W15" s="138">
        <f t="shared" si="2"/>
      </c>
      <c r="X15" s="138">
        <f t="shared" si="3"/>
      </c>
      <c r="Y15" s="138">
        <f t="shared" si="4"/>
      </c>
      <c r="Z15" s="138">
        <f t="shared" si="5"/>
      </c>
      <c r="AG15" s="113"/>
    </row>
    <row r="16" spans="1:26" ht="26.25" customHeight="1">
      <c r="A16" s="17">
        <v>4</v>
      </c>
      <c r="B16" s="141"/>
      <c r="C16" s="118"/>
      <c r="D16" s="142"/>
      <c r="E16" s="118"/>
      <c r="F16" s="118"/>
      <c r="G16" s="119"/>
      <c r="H16" s="143"/>
      <c r="I16" s="119"/>
      <c r="J16" s="144"/>
      <c r="K16" s="120"/>
      <c r="L16" s="121"/>
      <c r="R16" s="1" t="s">
        <v>80</v>
      </c>
      <c r="S16" s="1" t="s">
        <v>80</v>
      </c>
      <c r="U16" s="138">
        <f t="shared" si="0"/>
      </c>
      <c r="V16" s="138">
        <f t="shared" si="1"/>
      </c>
      <c r="W16" s="138">
        <f t="shared" si="2"/>
      </c>
      <c r="X16" s="138">
        <f t="shared" si="3"/>
      </c>
      <c r="Y16" s="138">
        <f t="shared" si="4"/>
      </c>
      <c r="Z16" s="138">
        <f t="shared" si="5"/>
      </c>
    </row>
    <row r="17" spans="1:26" ht="26.25" customHeight="1" thickBot="1">
      <c r="A17" s="19">
        <v>5</v>
      </c>
      <c r="B17" s="145"/>
      <c r="C17" s="122"/>
      <c r="D17" s="146"/>
      <c r="E17" s="122"/>
      <c r="F17" s="122"/>
      <c r="G17" s="147"/>
      <c r="H17" s="148"/>
      <c r="I17" s="147"/>
      <c r="J17" s="149"/>
      <c r="K17" s="123"/>
      <c r="L17" s="124"/>
      <c r="R17" s="1" t="s">
        <v>81</v>
      </c>
      <c r="S17" s="1" t="s">
        <v>81</v>
      </c>
      <c r="U17" s="138">
        <f t="shared" si="0"/>
      </c>
      <c r="V17" s="138">
        <f t="shared" si="1"/>
      </c>
      <c r="W17" s="138">
        <f t="shared" si="2"/>
      </c>
      <c r="X17" s="138">
        <f t="shared" si="3"/>
      </c>
      <c r="Y17" s="138">
        <f t="shared" si="4"/>
      </c>
      <c r="Z17" s="138">
        <f t="shared" si="5"/>
      </c>
    </row>
    <row r="18" spans="1:26" ht="26.25" customHeight="1">
      <c r="A18" s="20">
        <v>6</v>
      </c>
      <c r="B18" s="150"/>
      <c r="C18" s="125"/>
      <c r="D18" s="151"/>
      <c r="E18" s="125"/>
      <c r="F18" s="125"/>
      <c r="G18" s="152"/>
      <c r="H18" s="153"/>
      <c r="I18" s="152"/>
      <c r="J18" s="154"/>
      <c r="K18" s="126"/>
      <c r="L18" s="127"/>
      <c r="R18" s="1" t="s">
        <v>82</v>
      </c>
      <c r="S18" s="1" t="s">
        <v>83</v>
      </c>
      <c r="U18" s="138">
        <f t="shared" si="0"/>
      </c>
      <c r="V18" s="138">
        <f t="shared" si="1"/>
      </c>
      <c r="W18" s="138">
        <f t="shared" si="2"/>
      </c>
      <c r="X18" s="138">
        <f t="shared" si="3"/>
      </c>
      <c r="Y18" s="138">
        <f t="shared" si="4"/>
      </c>
      <c r="Z18" s="138">
        <f t="shared" si="5"/>
      </c>
    </row>
    <row r="19" spans="1:26" ht="26.25" customHeight="1">
      <c r="A19" s="17">
        <v>7</v>
      </c>
      <c r="B19" s="141"/>
      <c r="C19" s="118"/>
      <c r="D19" s="142"/>
      <c r="E19" s="118"/>
      <c r="F19" s="118"/>
      <c r="G19" s="119"/>
      <c r="H19" s="143"/>
      <c r="I19" s="119"/>
      <c r="J19" s="144"/>
      <c r="K19" s="120"/>
      <c r="L19" s="121"/>
      <c r="R19" s="1" t="s">
        <v>84</v>
      </c>
      <c r="S19" s="1" t="s">
        <v>82</v>
      </c>
      <c r="U19" s="138">
        <f t="shared" si="0"/>
      </c>
      <c r="V19" s="138">
        <f t="shared" si="1"/>
      </c>
      <c r="W19" s="138">
        <f t="shared" si="2"/>
      </c>
      <c r="X19" s="138">
        <f t="shared" si="3"/>
      </c>
      <c r="Y19" s="138">
        <f t="shared" si="4"/>
      </c>
      <c r="Z19" s="138">
        <f t="shared" si="5"/>
      </c>
    </row>
    <row r="20" spans="1:26" ht="26.25" customHeight="1">
      <c r="A20" s="17">
        <v>8</v>
      </c>
      <c r="B20" s="141"/>
      <c r="C20" s="118"/>
      <c r="D20" s="142"/>
      <c r="E20" s="118"/>
      <c r="F20" s="118"/>
      <c r="G20" s="119"/>
      <c r="H20" s="143"/>
      <c r="I20" s="119"/>
      <c r="J20" s="144"/>
      <c r="K20" s="120"/>
      <c r="L20" s="121"/>
      <c r="R20" s="1" t="s">
        <v>108</v>
      </c>
      <c r="S20" s="1" t="s">
        <v>85</v>
      </c>
      <c r="U20" s="138">
        <f t="shared" si="0"/>
      </c>
      <c r="V20" s="138">
        <f t="shared" si="1"/>
      </c>
      <c r="W20" s="138">
        <f t="shared" si="2"/>
      </c>
      <c r="X20" s="138">
        <f t="shared" si="3"/>
      </c>
      <c r="Y20" s="138">
        <f t="shared" si="4"/>
      </c>
      <c r="Z20" s="138">
        <f t="shared" si="5"/>
      </c>
    </row>
    <row r="21" spans="1:26" ht="26.25" customHeight="1">
      <c r="A21" s="17">
        <v>9</v>
      </c>
      <c r="B21" s="141"/>
      <c r="C21" s="118"/>
      <c r="D21" s="142"/>
      <c r="E21" s="118"/>
      <c r="F21" s="118"/>
      <c r="G21" s="119"/>
      <c r="H21" s="143"/>
      <c r="I21" s="119"/>
      <c r="J21" s="144"/>
      <c r="K21" s="120"/>
      <c r="L21" s="121"/>
      <c r="R21" s="1" t="s">
        <v>86</v>
      </c>
      <c r="S21" s="1" t="s">
        <v>116</v>
      </c>
      <c r="U21" s="138">
        <f t="shared" si="0"/>
      </c>
      <c r="V21" s="138">
        <f t="shared" si="1"/>
      </c>
      <c r="W21" s="138">
        <f t="shared" si="2"/>
      </c>
      <c r="X21" s="138">
        <f t="shared" si="3"/>
      </c>
      <c r="Y21" s="138">
        <f t="shared" si="4"/>
      </c>
      <c r="Z21" s="138">
        <f t="shared" si="5"/>
      </c>
    </row>
    <row r="22" spans="1:26" ht="26.25" customHeight="1" thickBot="1">
      <c r="A22" s="19">
        <v>10</v>
      </c>
      <c r="B22" s="145"/>
      <c r="C22" s="122"/>
      <c r="D22" s="146"/>
      <c r="E22" s="122"/>
      <c r="F22" s="122"/>
      <c r="G22" s="147"/>
      <c r="H22" s="148"/>
      <c r="I22" s="147"/>
      <c r="J22" s="149"/>
      <c r="K22" s="123"/>
      <c r="L22" s="124"/>
      <c r="R22" s="1" t="s">
        <v>87</v>
      </c>
      <c r="S22" s="1" t="s">
        <v>86</v>
      </c>
      <c r="U22" s="138">
        <f t="shared" si="0"/>
      </c>
      <c r="V22" s="138">
        <f t="shared" si="1"/>
      </c>
      <c r="W22" s="138">
        <f t="shared" si="2"/>
      </c>
      <c r="X22" s="138">
        <f t="shared" si="3"/>
      </c>
      <c r="Y22" s="138">
        <f t="shared" si="4"/>
      </c>
      <c r="Z22" s="138">
        <f t="shared" si="5"/>
      </c>
    </row>
    <row r="23" spans="1:26" ht="26.25" customHeight="1">
      <c r="A23" s="20">
        <v>11</v>
      </c>
      <c r="B23" s="150"/>
      <c r="C23" s="125"/>
      <c r="D23" s="151"/>
      <c r="E23" s="125"/>
      <c r="F23" s="125"/>
      <c r="G23" s="152"/>
      <c r="H23" s="153"/>
      <c r="I23" s="152"/>
      <c r="J23" s="154"/>
      <c r="K23" s="126"/>
      <c r="L23" s="127"/>
      <c r="R23" s="1" t="s">
        <v>128</v>
      </c>
      <c r="S23" s="1" t="s">
        <v>88</v>
      </c>
      <c r="U23" s="138">
        <f t="shared" si="0"/>
      </c>
      <c r="V23" s="138">
        <f t="shared" si="1"/>
      </c>
      <c r="W23" s="138">
        <f t="shared" si="2"/>
      </c>
      <c r="X23" s="138">
        <f t="shared" si="3"/>
      </c>
      <c r="Y23" s="138">
        <f t="shared" si="4"/>
      </c>
      <c r="Z23" s="138">
        <f t="shared" si="5"/>
      </c>
    </row>
    <row r="24" spans="1:26" ht="26.25" customHeight="1">
      <c r="A24" s="17">
        <v>12</v>
      </c>
      <c r="B24" s="141"/>
      <c r="C24" s="118"/>
      <c r="D24" s="142"/>
      <c r="E24" s="118"/>
      <c r="F24" s="118"/>
      <c r="G24" s="119"/>
      <c r="H24" s="143"/>
      <c r="I24" s="119"/>
      <c r="J24" s="144"/>
      <c r="K24" s="120"/>
      <c r="L24" s="121"/>
      <c r="R24" s="1" t="s">
        <v>109</v>
      </c>
      <c r="S24" s="1" t="s">
        <v>109</v>
      </c>
      <c r="U24" s="138">
        <f t="shared" si="0"/>
      </c>
      <c r="V24" s="138">
        <f t="shared" si="1"/>
      </c>
      <c r="W24" s="138">
        <f t="shared" si="2"/>
      </c>
      <c r="X24" s="138">
        <f t="shared" si="3"/>
      </c>
      <c r="Y24" s="138">
        <f t="shared" si="4"/>
      </c>
      <c r="Z24" s="138">
        <f t="shared" si="5"/>
      </c>
    </row>
    <row r="25" spans="1:26" ht="26.25" customHeight="1">
      <c r="A25" s="17">
        <v>13</v>
      </c>
      <c r="B25" s="141"/>
      <c r="C25" s="118"/>
      <c r="D25" s="142"/>
      <c r="E25" s="118"/>
      <c r="F25" s="118"/>
      <c r="G25" s="119"/>
      <c r="H25" s="143"/>
      <c r="I25" s="119"/>
      <c r="J25" s="144"/>
      <c r="K25" s="120"/>
      <c r="L25" s="121"/>
      <c r="R25" s="1" t="s">
        <v>110</v>
      </c>
      <c r="S25" s="1" t="s">
        <v>110</v>
      </c>
      <c r="U25" s="138">
        <f t="shared" si="0"/>
      </c>
      <c r="V25" s="138">
        <f t="shared" si="1"/>
      </c>
      <c r="W25" s="138">
        <f t="shared" si="2"/>
      </c>
      <c r="X25" s="138">
        <f t="shared" si="3"/>
      </c>
      <c r="Y25" s="138">
        <f t="shared" si="4"/>
      </c>
      <c r="Z25" s="138">
        <f t="shared" si="5"/>
      </c>
    </row>
    <row r="26" spans="1:26" ht="26.25" customHeight="1">
      <c r="A26" s="17">
        <v>14</v>
      </c>
      <c r="B26" s="141"/>
      <c r="C26" s="118"/>
      <c r="D26" s="142"/>
      <c r="E26" s="118"/>
      <c r="F26" s="118"/>
      <c r="G26" s="119"/>
      <c r="H26" s="143"/>
      <c r="I26" s="119"/>
      <c r="J26" s="144"/>
      <c r="K26" s="120"/>
      <c r="L26" s="121"/>
      <c r="R26" s="1" t="s">
        <v>111</v>
      </c>
      <c r="S26" s="1" t="s">
        <v>133</v>
      </c>
      <c r="U26" s="138">
        <f t="shared" si="0"/>
      </c>
      <c r="V26" s="138">
        <f t="shared" si="1"/>
      </c>
      <c r="W26" s="138">
        <f t="shared" si="2"/>
      </c>
      <c r="X26" s="138">
        <f t="shared" si="3"/>
      </c>
      <c r="Y26" s="138">
        <f t="shared" si="4"/>
      </c>
      <c r="Z26" s="138">
        <f t="shared" si="5"/>
      </c>
    </row>
    <row r="27" spans="1:26" ht="26.25" customHeight="1" thickBot="1">
      <c r="A27" s="21">
        <v>15</v>
      </c>
      <c r="B27" s="155"/>
      <c r="C27" s="128"/>
      <c r="D27" s="156"/>
      <c r="E27" s="128"/>
      <c r="F27" s="128"/>
      <c r="G27" s="157"/>
      <c r="H27" s="158"/>
      <c r="I27" s="157"/>
      <c r="J27" s="159"/>
      <c r="K27" s="129"/>
      <c r="L27" s="130"/>
      <c r="R27" s="1" t="s">
        <v>112</v>
      </c>
      <c r="S27" s="1" t="s">
        <v>89</v>
      </c>
      <c r="U27" s="138">
        <f t="shared" si="0"/>
      </c>
      <c r="V27" s="138">
        <f t="shared" si="1"/>
      </c>
      <c r="W27" s="138">
        <f t="shared" si="2"/>
      </c>
      <c r="X27" s="138">
        <f t="shared" si="3"/>
      </c>
      <c r="Y27" s="138">
        <f t="shared" si="4"/>
      </c>
      <c r="Z27" s="138">
        <f t="shared" si="5"/>
      </c>
    </row>
    <row r="28" spans="1:26" ht="26.25" customHeight="1">
      <c r="A28" s="22">
        <v>16</v>
      </c>
      <c r="B28" s="160"/>
      <c r="C28" s="131"/>
      <c r="D28" s="161"/>
      <c r="E28" s="131"/>
      <c r="F28" s="131"/>
      <c r="G28" s="162"/>
      <c r="H28" s="163"/>
      <c r="I28" s="162"/>
      <c r="J28" s="164"/>
      <c r="K28" s="132"/>
      <c r="L28" s="133"/>
      <c r="R28" s="1" t="s">
        <v>89</v>
      </c>
      <c r="S28" s="1" t="s">
        <v>90</v>
      </c>
      <c r="U28" s="138">
        <f t="shared" si="0"/>
      </c>
      <c r="V28" s="138">
        <f t="shared" si="1"/>
      </c>
      <c r="W28" s="138">
        <f t="shared" si="2"/>
      </c>
      <c r="X28" s="138">
        <f t="shared" si="3"/>
      </c>
      <c r="Y28" s="138">
        <f t="shared" si="4"/>
      </c>
      <c r="Z28" s="138">
        <f t="shared" si="5"/>
      </c>
    </row>
    <row r="29" spans="1:26" ht="26.25" customHeight="1">
      <c r="A29" s="17">
        <v>17</v>
      </c>
      <c r="B29" s="141"/>
      <c r="C29" s="118"/>
      <c r="D29" s="142"/>
      <c r="E29" s="118"/>
      <c r="F29" s="118"/>
      <c r="G29" s="119"/>
      <c r="H29" s="143"/>
      <c r="I29" s="119"/>
      <c r="J29" s="144"/>
      <c r="K29" s="120"/>
      <c r="L29" s="121"/>
      <c r="R29" s="1" t="s">
        <v>113</v>
      </c>
      <c r="S29" s="1" t="s">
        <v>91</v>
      </c>
      <c r="U29" s="138">
        <f t="shared" si="0"/>
      </c>
      <c r="V29" s="138">
        <f t="shared" si="1"/>
      </c>
      <c r="W29" s="138">
        <f t="shared" si="2"/>
      </c>
      <c r="X29" s="138">
        <f t="shared" si="3"/>
      </c>
      <c r="Y29" s="138">
        <f t="shared" si="4"/>
      </c>
      <c r="Z29" s="138">
        <f t="shared" si="5"/>
      </c>
    </row>
    <row r="30" spans="1:26" ht="26.25" customHeight="1">
      <c r="A30" s="17">
        <v>18</v>
      </c>
      <c r="B30" s="141"/>
      <c r="C30" s="118"/>
      <c r="D30" s="142"/>
      <c r="E30" s="118"/>
      <c r="F30" s="118"/>
      <c r="G30" s="119"/>
      <c r="H30" s="143"/>
      <c r="I30" s="119"/>
      <c r="J30" s="144"/>
      <c r="K30" s="120"/>
      <c r="L30" s="121"/>
      <c r="R30" s="1" t="s">
        <v>114</v>
      </c>
      <c r="S30" s="1" t="s">
        <v>93</v>
      </c>
      <c r="U30" s="138">
        <f t="shared" si="0"/>
      </c>
      <c r="V30" s="138">
        <f t="shared" si="1"/>
      </c>
      <c r="W30" s="138">
        <f t="shared" si="2"/>
      </c>
      <c r="X30" s="138">
        <f t="shared" si="3"/>
      </c>
      <c r="Y30" s="138">
        <f t="shared" si="4"/>
      </c>
      <c r="Z30" s="138">
        <f t="shared" si="5"/>
      </c>
    </row>
    <row r="31" spans="1:26" ht="26.25" customHeight="1">
      <c r="A31" s="17">
        <v>19</v>
      </c>
      <c r="B31" s="141"/>
      <c r="C31" s="118"/>
      <c r="D31" s="142"/>
      <c r="E31" s="118"/>
      <c r="F31" s="118"/>
      <c r="G31" s="119"/>
      <c r="H31" s="143"/>
      <c r="I31" s="119"/>
      <c r="J31" s="144"/>
      <c r="K31" s="120"/>
      <c r="L31" s="121"/>
      <c r="R31" s="1" t="s">
        <v>90</v>
      </c>
      <c r="S31" s="1" t="s">
        <v>94</v>
      </c>
      <c r="U31" s="138">
        <f t="shared" si="0"/>
      </c>
      <c r="V31" s="138">
        <f t="shared" si="1"/>
      </c>
      <c r="W31" s="138">
        <f t="shared" si="2"/>
      </c>
      <c r="X31" s="138">
        <f t="shared" si="3"/>
      </c>
      <c r="Y31" s="138">
        <f t="shared" si="4"/>
      </c>
      <c r="Z31" s="138">
        <f t="shared" si="5"/>
      </c>
    </row>
    <row r="32" spans="1:26" ht="26.25" customHeight="1" thickBot="1">
      <c r="A32" s="21">
        <v>20</v>
      </c>
      <c r="B32" s="155"/>
      <c r="C32" s="128"/>
      <c r="D32" s="156"/>
      <c r="E32" s="128"/>
      <c r="F32" s="128"/>
      <c r="G32" s="157"/>
      <c r="H32" s="158"/>
      <c r="I32" s="157"/>
      <c r="J32" s="159"/>
      <c r="K32" s="129"/>
      <c r="L32" s="130"/>
      <c r="R32" s="1" t="s">
        <v>92</v>
      </c>
      <c r="U32" s="138">
        <f t="shared" si="0"/>
      </c>
      <c r="V32" s="138">
        <f t="shared" si="1"/>
      </c>
      <c r="W32" s="138">
        <f t="shared" si="2"/>
      </c>
      <c r="X32" s="138">
        <f t="shared" si="3"/>
      </c>
      <c r="Y32" s="138">
        <f t="shared" si="4"/>
      </c>
      <c r="Z32" s="138">
        <f t="shared" si="5"/>
      </c>
    </row>
    <row r="33" spans="1:26" ht="26.25" customHeight="1">
      <c r="A33" s="20">
        <v>21</v>
      </c>
      <c r="B33" s="150"/>
      <c r="C33" s="125"/>
      <c r="D33" s="151"/>
      <c r="E33" s="125"/>
      <c r="F33" s="125"/>
      <c r="G33" s="152"/>
      <c r="H33" s="153"/>
      <c r="I33" s="152"/>
      <c r="J33" s="154"/>
      <c r="K33" s="126"/>
      <c r="L33" s="127"/>
      <c r="R33" s="1" t="s">
        <v>115</v>
      </c>
      <c r="U33" s="138">
        <f t="shared" si="0"/>
      </c>
      <c r="V33" s="138">
        <f t="shared" si="1"/>
      </c>
      <c r="W33" s="138">
        <f t="shared" si="2"/>
      </c>
      <c r="X33" s="138">
        <f t="shared" si="3"/>
      </c>
      <c r="Y33" s="138">
        <f t="shared" si="4"/>
      </c>
      <c r="Z33" s="138">
        <f t="shared" si="5"/>
      </c>
    </row>
    <row r="34" spans="1:26" ht="26.25" customHeight="1">
      <c r="A34" s="17">
        <v>22</v>
      </c>
      <c r="B34" s="141"/>
      <c r="C34" s="118"/>
      <c r="D34" s="142"/>
      <c r="E34" s="118"/>
      <c r="F34" s="118"/>
      <c r="G34" s="119"/>
      <c r="H34" s="143"/>
      <c r="I34" s="119"/>
      <c r="J34" s="144"/>
      <c r="K34" s="120"/>
      <c r="L34" s="121"/>
      <c r="R34" s="1" t="s">
        <v>91</v>
      </c>
      <c r="U34" s="138">
        <f t="shared" si="0"/>
      </c>
      <c r="V34" s="138">
        <f t="shared" si="1"/>
      </c>
      <c r="W34" s="138">
        <f t="shared" si="2"/>
      </c>
      <c r="X34" s="138">
        <f t="shared" si="3"/>
      </c>
      <c r="Y34" s="138">
        <f t="shared" si="4"/>
      </c>
      <c r="Z34" s="138">
        <f t="shared" si="5"/>
      </c>
    </row>
    <row r="35" spans="1:26" ht="26.25" customHeight="1">
      <c r="A35" s="17">
        <v>23</v>
      </c>
      <c r="B35" s="141"/>
      <c r="C35" s="118"/>
      <c r="D35" s="142"/>
      <c r="E35" s="118"/>
      <c r="F35" s="118"/>
      <c r="G35" s="119"/>
      <c r="H35" s="143"/>
      <c r="I35" s="119"/>
      <c r="J35" s="144"/>
      <c r="K35" s="120"/>
      <c r="L35" s="121"/>
      <c r="R35" s="1" t="s">
        <v>95</v>
      </c>
      <c r="U35" s="138">
        <f t="shared" si="0"/>
      </c>
      <c r="V35" s="138">
        <f t="shared" si="1"/>
      </c>
      <c r="W35" s="138">
        <f t="shared" si="2"/>
      </c>
      <c r="X35" s="138">
        <f t="shared" si="3"/>
      </c>
      <c r="Y35" s="138">
        <f t="shared" si="4"/>
      </c>
      <c r="Z35" s="138">
        <f t="shared" si="5"/>
      </c>
    </row>
    <row r="36" spans="1:26" ht="26.25" customHeight="1">
      <c r="A36" s="17">
        <v>24</v>
      </c>
      <c r="B36" s="141"/>
      <c r="C36" s="118"/>
      <c r="D36" s="142"/>
      <c r="E36" s="118"/>
      <c r="F36" s="118"/>
      <c r="G36" s="119"/>
      <c r="H36" s="143"/>
      <c r="I36" s="119"/>
      <c r="J36" s="144"/>
      <c r="K36" s="120"/>
      <c r="L36" s="121"/>
      <c r="R36" s="1" t="s">
        <v>93</v>
      </c>
      <c r="U36" s="138">
        <f t="shared" si="0"/>
      </c>
      <c r="V36" s="138">
        <f t="shared" si="1"/>
      </c>
      <c r="W36" s="138">
        <f t="shared" si="2"/>
      </c>
      <c r="X36" s="138">
        <f t="shared" si="3"/>
      </c>
      <c r="Y36" s="138">
        <f t="shared" si="4"/>
      </c>
      <c r="Z36" s="138">
        <f t="shared" si="5"/>
      </c>
    </row>
    <row r="37" spans="1:26" ht="26.25" customHeight="1" thickBot="1">
      <c r="A37" s="21">
        <v>25</v>
      </c>
      <c r="B37" s="155"/>
      <c r="C37" s="128"/>
      <c r="D37" s="156"/>
      <c r="E37" s="128"/>
      <c r="F37" s="128"/>
      <c r="G37" s="157"/>
      <c r="H37" s="158"/>
      <c r="I37" s="157"/>
      <c r="J37" s="159"/>
      <c r="K37" s="129"/>
      <c r="L37" s="130"/>
      <c r="R37" s="1" t="s">
        <v>96</v>
      </c>
      <c r="U37" s="138">
        <f t="shared" si="0"/>
      </c>
      <c r="V37" s="138">
        <f t="shared" si="1"/>
      </c>
      <c r="W37" s="138">
        <f t="shared" si="2"/>
      </c>
      <c r="X37" s="138">
        <f t="shared" si="3"/>
      </c>
      <c r="Y37" s="138">
        <f t="shared" si="4"/>
      </c>
      <c r="Z37" s="138">
        <f t="shared" si="5"/>
      </c>
    </row>
    <row r="38" spans="1:26" ht="26.25" customHeight="1">
      <c r="A38" s="22">
        <v>26</v>
      </c>
      <c r="B38" s="160"/>
      <c r="C38" s="131"/>
      <c r="D38" s="161"/>
      <c r="E38" s="131"/>
      <c r="F38" s="131"/>
      <c r="G38" s="162"/>
      <c r="H38" s="163"/>
      <c r="I38" s="162"/>
      <c r="J38" s="164"/>
      <c r="K38" s="132"/>
      <c r="L38" s="133"/>
      <c r="R38" s="1" t="s">
        <v>94</v>
      </c>
      <c r="U38" s="138">
        <f t="shared" si="0"/>
      </c>
      <c r="V38" s="138">
        <f t="shared" si="1"/>
      </c>
      <c r="W38" s="138">
        <f t="shared" si="2"/>
      </c>
      <c r="X38" s="138">
        <f t="shared" si="3"/>
      </c>
      <c r="Y38" s="138">
        <f t="shared" si="4"/>
      </c>
      <c r="Z38" s="138">
        <f t="shared" si="5"/>
      </c>
    </row>
    <row r="39" spans="1:26" ht="26.25" customHeight="1">
      <c r="A39" s="17">
        <v>27</v>
      </c>
      <c r="B39" s="141"/>
      <c r="C39" s="118"/>
      <c r="D39" s="142"/>
      <c r="E39" s="118"/>
      <c r="F39" s="118"/>
      <c r="G39" s="119"/>
      <c r="H39" s="143"/>
      <c r="I39" s="119"/>
      <c r="J39" s="144"/>
      <c r="K39" s="120"/>
      <c r="L39" s="121"/>
      <c r="U39" s="138">
        <f t="shared" si="0"/>
      </c>
      <c r="V39" s="138">
        <f t="shared" si="1"/>
      </c>
      <c r="W39" s="138">
        <f t="shared" si="2"/>
      </c>
      <c r="X39" s="138">
        <f t="shared" si="3"/>
      </c>
      <c r="Y39" s="138">
        <f t="shared" si="4"/>
      </c>
      <c r="Z39" s="138">
        <f t="shared" si="5"/>
      </c>
    </row>
    <row r="40" spans="1:26" ht="26.25" customHeight="1">
      <c r="A40" s="17">
        <v>28</v>
      </c>
      <c r="B40" s="141"/>
      <c r="C40" s="118"/>
      <c r="D40" s="142"/>
      <c r="E40" s="118"/>
      <c r="F40" s="118"/>
      <c r="G40" s="119"/>
      <c r="H40" s="143"/>
      <c r="I40" s="119"/>
      <c r="J40" s="144"/>
      <c r="K40" s="120"/>
      <c r="L40" s="121"/>
      <c r="U40" s="138">
        <f t="shared" si="0"/>
      </c>
      <c r="V40" s="138">
        <f t="shared" si="1"/>
      </c>
      <c r="W40" s="138">
        <f t="shared" si="2"/>
      </c>
      <c r="X40" s="138">
        <f t="shared" si="3"/>
      </c>
      <c r="Y40" s="138">
        <f t="shared" si="4"/>
      </c>
      <c r="Z40" s="138">
        <f t="shared" si="5"/>
      </c>
    </row>
    <row r="41" spans="1:26" ht="26.25" customHeight="1">
      <c r="A41" s="17">
        <v>29</v>
      </c>
      <c r="B41" s="141"/>
      <c r="C41" s="118"/>
      <c r="D41" s="142"/>
      <c r="E41" s="118"/>
      <c r="F41" s="118"/>
      <c r="G41" s="119"/>
      <c r="H41" s="143"/>
      <c r="I41" s="119"/>
      <c r="J41" s="144"/>
      <c r="K41" s="120"/>
      <c r="L41" s="121"/>
      <c r="U41" s="138">
        <f t="shared" si="0"/>
      </c>
      <c r="V41" s="138">
        <f t="shared" si="1"/>
      </c>
      <c r="W41" s="138">
        <f t="shared" si="2"/>
      </c>
      <c r="X41" s="138">
        <f t="shared" si="3"/>
      </c>
      <c r="Y41" s="138">
        <f t="shared" si="4"/>
      </c>
      <c r="Z41" s="138">
        <f t="shared" si="5"/>
      </c>
    </row>
    <row r="42" spans="1:26" ht="26.25" customHeight="1" thickBot="1">
      <c r="A42" s="21">
        <v>30</v>
      </c>
      <c r="B42" s="155"/>
      <c r="C42" s="128"/>
      <c r="D42" s="156"/>
      <c r="E42" s="128"/>
      <c r="F42" s="128"/>
      <c r="G42" s="157"/>
      <c r="H42" s="158"/>
      <c r="I42" s="157"/>
      <c r="J42" s="159"/>
      <c r="K42" s="129"/>
      <c r="L42" s="130"/>
      <c r="U42" s="138">
        <f t="shared" si="0"/>
      </c>
      <c r="V42" s="138">
        <f t="shared" si="1"/>
      </c>
      <c r="W42" s="138">
        <f t="shared" si="2"/>
      </c>
      <c r="X42" s="138">
        <f t="shared" si="3"/>
      </c>
      <c r="Y42" s="138">
        <f t="shared" si="4"/>
      </c>
      <c r="Z42" s="138">
        <f t="shared" si="5"/>
      </c>
    </row>
    <row r="43" spans="1:26" ht="26.25" customHeight="1">
      <c r="A43" s="17">
        <v>31</v>
      </c>
      <c r="B43" s="141"/>
      <c r="C43" s="118"/>
      <c r="D43" s="142"/>
      <c r="E43" s="118"/>
      <c r="F43" s="118"/>
      <c r="G43" s="119"/>
      <c r="H43" s="143"/>
      <c r="I43" s="119"/>
      <c r="J43" s="144"/>
      <c r="K43" s="120"/>
      <c r="L43" s="121"/>
      <c r="N43" s="18"/>
      <c r="U43" s="138">
        <f t="shared" si="0"/>
      </c>
      <c r="V43" s="138">
        <f t="shared" si="1"/>
      </c>
      <c r="W43" s="138">
        <f t="shared" si="2"/>
      </c>
      <c r="X43" s="138">
        <f t="shared" si="3"/>
      </c>
      <c r="Y43" s="138">
        <f t="shared" si="4"/>
      </c>
      <c r="Z43" s="138">
        <f t="shared" si="5"/>
      </c>
    </row>
    <row r="44" spans="1:26" ht="26.25" customHeight="1">
      <c r="A44" s="17">
        <v>32</v>
      </c>
      <c r="B44" s="141"/>
      <c r="C44" s="118"/>
      <c r="D44" s="142"/>
      <c r="E44" s="118"/>
      <c r="F44" s="118"/>
      <c r="G44" s="119"/>
      <c r="H44" s="143"/>
      <c r="I44" s="119"/>
      <c r="J44" s="144"/>
      <c r="K44" s="120"/>
      <c r="L44" s="121"/>
      <c r="U44" s="138">
        <f t="shared" si="0"/>
      </c>
      <c r="V44" s="138">
        <f t="shared" si="1"/>
      </c>
      <c r="W44" s="138">
        <f t="shared" si="2"/>
      </c>
      <c r="X44" s="138">
        <f t="shared" si="3"/>
      </c>
      <c r="Y44" s="138">
        <f t="shared" si="4"/>
      </c>
      <c r="Z44" s="138">
        <f t="shared" si="5"/>
      </c>
    </row>
    <row r="45" spans="1:26" ht="26.25" customHeight="1">
      <c r="A45" s="17">
        <v>33</v>
      </c>
      <c r="B45" s="141"/>
      <c r="C45" s="118"/>
      <c r="D45" s="142"/>
      <c r="E45" s="118"/>
      <c r="F45" s="118"/>
      <c r="G45" s="119"/>
      <c r="H45" s="143"/>
      <c r="I45" s="119"/>
      <c r="J45" s="144"/>
      <c r="K45" s="120"/>
      <c r="L45" s="121"/>
      <c r="U45" s="138">
        <f t="shared" si="0"/>
      </c>
      <c r="V45" s="138">
        <f t="shared" si="1"/>
      </c>
      <c r="W45" s="138">
        <f t="shared" si="2"/>
      </c>
      <c r="X45" s="138">
        <f t="shared" si="3"/>
      </c>
      <c r="Y45" s="138">
        <f t="shared" si="4"/>
      </c>
      <c r="Z45" s="138">
        <f t="shared" si="5"/>
      </c>
    </row>
    <row r="46" spans="1:26" ht="26.25" customHeight="1">
      <c r="A46" s="17">
        <v>34</v>
      </c>
      <c r="B46" s="141"/>
      <c r="C46" s="118"/>
      <c r="D46" s="142"/>
      <c r="E46" s="118"/>
      <c r="F46" s="118"/>
      <c r="G46" s="119"/>
      <c r="H46" s="143"/>
      <c r="I46" s="119"/>
      <c r="J46" s="144"/>
      <c r="K46" s="120"/>
      <c r="L46" s="121"/>
      <c r="U46" s="138">
        <f t="shared" si="0"/>
      </c>
      <c r="V46" s="138">
        <f t="shared" si="1"/>
      </c>
      <c r="W46" s="138">
        <f t="shared" si="2"/>
      </c>
      <c r="X46" s="138">
        <f t="shared" si="3"/>
      </c>
      <c r="Y46" s="138">
        <f t="shared" si="4"/>
      </c>
      <c r="Z46" s="138">
        <f t="shared" si="5"/>
      </c>
    </row>
    <row r="47" spans="1:26" ht="26.25" customHeight="1" thickBot="1">
      <c r="A47" s="19">
        <v>35</v>
      </c>
      <c r="B47" s="145"/>
      <c r="C47" s="122"/>
      <c r="D47" s="146"/>
      <c r="E47" s="122"/>
      <c r="F47" s="122"/>
      <c r="G47" s="147"/>
      <c r="H47" s="148"/>
      <c r="I47" s="147"/>
      <c r="J47" s="149"/>
      <c r="K47" s="123"/>
      <c r="L47" s="124"/>
      <c r="U47" s="138">
        <f t="shared" si="0"/>
      </c>
      <c r="V47" s="138">
        <f t="shared" si="1"/>
      </c>
      <c r="W47" s="138">
        <f t="shared" si="2"/>
      </c>
      <c r="X47" s="138">
        <f t="shared" si="3"/>
      </c>
      <c r="Y47" s="138">
        <f t="shared" si="4"/>
      </c>
      <c r="Z47" s="138">
        <f t="shared" si="5"/>
      </c>
    </row>
    <row r="48" spans="1:26" ht="26.25" customHeight="1">
      <c r="A48" s="20">
        <v>36</v>
      </c>
      <c r="B48" s="150"/>
      <c r="C48" s="125"/>
      <c r="D48" s="151"/>
      <c r="E48" s="125"/>
      <c r="F48" s="125"/>
      <c r="G48" s="152"/>
      <c r="H48" s="153"/>
      <c r="I48" s="152"/>
      <c r="J48" s="154"/>
      <c r="K48" s="126"/>
      <c r="L48" s="127"/>
      <c r="U48" s="138">
        <f t="shared" si="0"/>
      </c>
      <c r="V48" s="138">
        <f t="shared" si="1"/>
      </c>
      <c r="W48" s="138">
        <f t="shared" si="2"/>
      </c>
      <c r="X48" s="138">
        <f t="shared" si="3"/>
      </c>
      <c r="Y48" s="138">
        <f t="shared" si="4"/>
      </c>
      <c r="Z48" s="138">
        <f t="shared" si="5"/>
      </c>
    </row>
    <row r="49" spans="1:26" ht="26.25" customHeight="1">
      <c r="A49" s="17">
        <v>37</v>
      </c>
      <c r="B49" s="141"/>
      <c r="C49" s="118"/>
      <c r="D49" s="142"/>
      <c r="E49" s="118"/>
      <c r="F49" s="118"/>
      <c r="G49" s="119"/>
      <c r="H49" s="143"/>
      <c r="I49" s="119"/>
      <c r="J49" s="144"/>
      <c r="K49" s="120"/>
      <c r="L49" s="121"/>
      <c r="U49" s="138">
        <f t="shared" si="0"/>
      </c>
      <c r="V49" s="138">
        <f t="shared" si="1"/>
      </c>
      <c r="W49" s="138">
        <f t="shared" si="2"/>
      </c>
      <c r="X49" s="138">
        <f t="shared" si="3"/>
      </c>
      <c r="Y49" s="138">
        <f t="shared" si="4"/>
      </c>
      <c r="Z49" s="138">
        <f t="shared" si="5"/>
      </c>
    </row>
    <row r="50" spans="1:26" ht="26.25" customHeight="1">
      <c r="A50" s="17">
        <v>38</v>
      </c>
      <c r="B50" s="141"/>
      <c r="C50" s="118"/>
      <c r="D50" s="142"/>
      <c r="E50" s="118"/>
      <c r="F50" s="118"/>
      <c r="G50" s="119"/>
      <c r="H50" s="143"/>
      <c r="I50" s="119"/>
      <c r="J50" s="144"/>
      <c r="K50" s="120"/>
      <c r="L50" s="121"/>
      <c r="U50" s="138">
        <f t="shared" si="0"/>
      </c>
      <c r="V50" s="138">
        <f t="shared" si="1"/>
      </c>
      <c r="W50" s="138">
        <f t="shared" si="2"/>
      </c>
      <c r="X50" s="138">
        <f t="shared" si="3"/>
      </c>
      <c r="Y50" s="138">
        <f t="shared" si="4"/>
      </c>
      <c r="Z50" s="138">
        <f t="shared" si="5"/>
      </c>
    </row>
    <row r="51" spans="1:26" ht="26.25" customHeight="1">
      <c r="A51" s="17">
        <v>39</v>
      </c>
      <c r="B51" s="141"/>
      <c r="C51" s="118"/>
      <c r="D51" s="142"/>
      <c r="E51" s="118"/>
      <c r="F51" s="118"/>
      <c r="G51" s="119"/>
      <c r="H51" s="143"/>
      <c r="I51" s="119"/>
      <c r="J51" s="144"/>
      <c r="K51" s="120"/>
      <c r="L51" s="121"/>
      <c r="U51" s="138">
        <f t="shared" si="0"/>
      </c>
      <c r="V51" s="138">
        <f t="shared" si="1"/>
      </c>
      <c r="W51" s="138">
        <f t="shared" si="2"/>
      </c>
      <c r="X51" s="138">
        <f t="shared" si="3"/>
      </c>
      <c r="Y51" s="138">
        <f t="shared" si="4"/>
      </c>
      <c r="Z51" s="138">
        <f t="shared" si="5"/>
      </c>
    </row>
    <row r="52" spans="1:26" ht="26.25" customHeight="1" thickBot="1">
      <c r="A52" s="19">
        <v>40</v>
      </c>
      <c r="B52" s="145"/>
      <c r="C52" s="122"/>
      <c r="D52" s="146"/>
      <c r="E52" s="122"/>
      <c r="F52" s="122"/>
      <c r="G52" s="147"/>
      <c r="H52" s="148"/>
      <c r="I52" s="147"/>
      <c r="J52" s="149"/>
      <c r="K52" s="123"/>
      <c r="L52" s="124"/>
      <c r="U52" s="138">
        <f t="shared" si="0"/>
      </c>
      <c r="V52" s="138">
        <f t="shared" si="1"/>
      </c>
      <c r="W52" s="138">
        <f t="shared" si="2"/>
      </c>
      <c r="X52" s="138">
        <f t="shared" si="3"/>
      </c>
      <c r="Y52" s="138">
        <f t="shared" si="4"/>
      </c>
      <c r="Z52" s="138">
        <f t="shared" si="5"/>
      </c>
    </row>
    <row r="53" spans="1:26" ht="26.25" customHeight="1">
      <c r="A53" s="20">
        <v>41</v>
      </c>
      <c r="B53" s="150"/>
      <c r="C53" s="125"/>
      <c r="D53" s="151"/>
      <c r="E53" s="125"/>
      <c r="F53" s="125"/>
      <c r="G53" s="152"/>
      <c r="H53" s="153"/>
      <c r="I53" s="152"/>
      <c r="J53" s="154"/>
      <c r="K53" s="126"/>
      <c r="L53" s="127"/>
      <c r="U53" s="138">
        <f t="shared" si="0"/>
      </c>
      <c r="V53" s="138">
        <f t="shared" si="1"/>
      </c>
      <c r="W53" s="138">
        <f t="shared" si="2"/>
      </c>
      <c r="X53" s="138">
        <f t="shared" si="3"/>
      </c>
      <c r="Y53" s="138">
        <f t="shared" si="4"/>
      </c>
      <c r="Z53" s="138">
        <f t="shared" si="5"/>
      </c>
    </row>
    <row r="54" spans="1:26" ht="26.25" customHeight="1">
      <c r="A54" s="17">
        <v>42</v>
      </c>
      <c r="B54" s="141"/>
      <c r="C54" s="118"/>
      <c r="D54" s="142"/>
      <c r="E54" s="118"/>
      <c r="F54" s="118"/>
      <c r="G54" s="119"/>
      <c r="H54" s="143"/>
      <c r="I54" s="119"/>
      <c r="J54" s="144"/>
      <c r="K54" s="120"/>
      <c r="L54" s="121"/>
      <c r="U54" s="138">
        <f t="shared" si="0"/>
      </c>
      <c r="V54" s="138">
        <f t="shared" si="1"/>
      </c>
      <c r="W54" s="138">
        <f t="shared" si="2"/>
      </c>
      <c r="X54" s="138">
        <f t="shared" si="3"/>
      </c>
      <c r="Y54" s="138">
        <f t="shared" si="4"/>
      </c>
      <c r="Z54" s="138">
        <f t="shared" si="5"/>
      </c>
    </row>
    <row r="55" spans="1:26" ht="26.25" customHeight="1">
      <c r="A55" s="17">
        <v>43</v>
      </c>
      <c r="B55" s="141"/>
      <c r="C55" s="118"/>
      <c r="D55" s="142"/>
      <c r="E55" s="118"/>
      <c r="F55" s="118"/>
      <c r="G55" s="119"/>
      <c r="H55" s="143"/>
      <c r="I55" s="119"/>
      <c r="J55" s="144"/>
      <c r="K55" s="120"/>
      <c r="L55" s="121"/>
      <c r="U55" s="138">
        <f t="shared" si="0"/>
      </c>
      <c r="V55" s="138">
        <f t="shared" si="1"/>
      </c>
      <c r="W55" s="138">
        <f t="shared" si="2"/>
      </c>
      <c r="X55" s="138">
        <f t="shared" si="3"/>
      </c>
      <c r="Y55" s="138">
        <f t="shared" si="4"/>
      </c>
      <c r="Z55" s="138">
        <f t="shared" si="5"/>
      </c>
    </row>
    <row r="56" spans="1:26" ht="26.25" customHeight="1">
      <c r="A56" s="17">
        <v>44</v>
      </c>
      <c r="B56" s="141"/>
      <c r="C56" s="118"/>
      <c r="D56" s="142"/>
      <c r="E56" s="118"/>
      <c r="F56" s="118"/>
      <c r="G56" s="119"/>
      <c r="H56" s="143"/>
      <c r="I56" s="119"/>
      <c r="J56" s="144"/>
      <c r="K56" s="120"/>
      <c r="L56" s="121"/>
      <c r="U56" s="138">
        <f t="shared" si="0"/>
      </c>
      <c r="V56" s="138">
        <f t="shared" si="1"/>
      </c>
      <c r="W56" s="138">
        <f t="shared" si="2"/>
      </c>
      <c r="X56" s="138">
        <f t="shared" si="3"/>
      </c>
      <c r="Y56" s="138">
        <f t="shared" si="4"/>
      </c>
      <c r="Z56" s="138">
        <f t="shared" si="5"/>
      </c>
    </row>
    <row r="57" spans="1:26" ht="26.25" customHeight="1" thickBot="1">
      <c r="A57" s="21">
        <v>45</v>
      </c>
      <c r="B57" s="155"/>
      <c r="C57" s="128"/>
      <c r="D57" s="156"/>
      <c r="E57" s="128"/>
      <c r="F57" s="128"/>
      <c r="G57" s="157"/>
      <c r="H57" s="158"/>
      <c r="I57" s="157"/>
      <c r="J57" s="159"/>
      <c r="K57" s="129"/>
      <c r="L57" s="130"/>
      <c r="U57" s="138">
        <f t="shared" si="0"/>
      </c>
      <c r="V57" s="138">
        <f t="shared" si="1"/>
      </c>
      <c r="W57" s="138">
        <f t="shared" si="2"/>
      </c>
      <c r="X57" s="138">
        <f t="shared" si="3"/>
      </c>
      <c r="Y57" s="138">
        <f t="shared" si="4"/>
      </c>
      <c r="Z57" s="138">
        <f t="shared" si="5"/>
      </c>
    </row>
    <row r="58" spans="1:26" ht="26.25" customHeight="1">
      <c r="A58" s="20">
        <v>46</v>
      </c>
      <c r="B58" s="150"/>
      <c r="C58" s="125"/>
      <c r="D58" s="151"/>
      <c r="E58" s="125"/>
      <c r="F58" s="125"/>
      <c r="G58" s="152"/>
      <c r="H58" s="153"/>
      <c r="I58" s="152"/>
      <c r="J58" s="154"/>
      <c r="K58" s="126"/>
      <c r="L58" s="127"/>
      <c r="U58" s="138">
        <f t="shared" si="0"/>
      </c>
      <c r="V58" s="138">
        <f t="shared" si="1"/>
      </c>
      <c r="W58" s="138">
        <f t="shared" si="2"/>
      </c>
      <c r="X58" s="138">
        <f t="shared" si="3"/>
      </c>
      <c r="Y58" s="138">
        <f t="shared" si="4"/>
      </c>
      <c r="Z58" s="138">
        <f t="shared" si="5"/>
      </c>
    </row>
    <row r="59" spans="1:26" ht="26.25" customHeight="1">
      <c r="A59" s="17">
        <v>47</v>
      </c>
      <c r="B59" s="141"/>
      <c r="C59" s="118"/>
      <c r="D59" s="142"/>
      <c r="E59" s="118"/>
      <c r="F59" s="118"/>
      <c r="G59" s="119"/>
      <c r="H59" s="143"/>
      <c r="I59" s="119"/>
      <c r="J59" s="144"/>
      <c r="K59" s="120"/>
      <c r="L59" s="121"/>
      <c r="U59" s="138">
        <f t="shared" si="0"/>
      </c>
      <c r="V59" s="138">
        <f t="shared" si="1"/>
      </c>
      <c r="W59" s="138">
        <f t="shared" si="2"/>
      </c>
      <c r="X59" s="138">
        <f t="shared" si="3"/>
      </c>
      <c r="Y59" s="138">
        <f t="shared" si="4"/>
      </c>
      <c r="Z59" s="138">
        <f t="shared" si="5"/>
      </c>
    </row>
    <row r="60" spans="1:26" ht="26.25" customHeight="1">
      <c r="A60" s="17">
        <v>48</v>
      </c>
      <c r="B60" s="141"/>
      <c r="C60" s="118"/>
      <c r="D60" s="142"/>
      <c r="E60" s="118"/>
      <c r="F60" s="118"/>
      <c r="G60" s="119"/>
      <c r="H60" s="143"/>
      <c r="I60" s="119"/>
      <c r="J60" s="144"/>
      <c r="K60" s="120"/>
      <c r="L60" s="121"/>
      <c r="U60" s="138">
        <f t="shared" si="0"/>
      </c>
      <c r="V60" s="138">
        <f t="shared" si="1"/>
      </c>
      <c r="W60" s="138">
        <f t="shared" si="2"/>
      </c>
      <c r="X60" s="138">
        <f t="shared" si="3"/>
      </c>
      <c r="Y60" s="138">
        <f t="shared" si="4"/>
      </c>
      <c r="Z60" s="138">
        <f t="shared" si="5"/>
      </c>
    </row>
    <row r="61" spans="1:26" ht="26.25" customHeight="1">
      <c r="A61" s="17">
        <v>49</v>
      </c>
      <c r="B61" s="141"/>
      <c r="C61" s="118"/>
      <c r="D61" s="142"/>
      <c r="E61" s="118"/>
      <c r="F61" s="118"/>
      <c r="G61" s="119"/>
      <c r="H61" s="143"/>
      <c r="I61" s="119"/>
      <c r="J61" s="144"/>
      <c r="K61" s="120"/>
      <c r="L61" s="121"/>
      <c r="U61" s="138">
        <f t="shared" si="0"/>
      </c>
      <c r="V61" s="138">
        <f t="shared" si="1"/>
      </c>
      <c r="W61" s="138">
        <f t="shared" si="2"/>
      </c>
      <c r="X61" s="138">
        <f t="shared" si="3"/>
      </c>
      <c r="Y61" s="138">
        <f t="shared" si="4"/>
      </c>
      <c r="Z61" s="138">
        <f t="shared" si="5"/>
      </c>
    </row>
    <row r="62" spans="1:26" ht="26.25" customHeight="1" thickBot="1">
      <c r="A62" s="21">
        <v>50</v>
      </c>
      <c r="B62" s="155"/>
      <c r="C62" s="128"/>
      <c r="D62" s="156"/>
      <c r="E62" s="128"/>
      <c r="F62" s="128"/>
      <c r="G62" s="157"/>
      <c r="H62" s="158"/>
      <c r="I62" s="157"/>
      <c r="J62" s="159"/>
      <c r="K62" s="129"/>
      <c r="L62" s="130"/>
      <c r="U62" s="138">
        <f t="shared" si="0"/>
      </c>
      <c r="V62" s="138">
        <f t="shared" si="1"/>
      </c>
      <c r="W62" s="138">
        <f t="shared" si="2"/>
      </c>
      <c r="X62" s="138">
        <f t="shared" si="3"/>
      </c>
      <c r="Y62" s="138">
        <f t="shared" si="4"/>
      </c>
      <c r="Z62" s="138">
        <f t="shared" si="5"/>
      </c>
    </row>
    <row r="63" spans="1:26" ht="17.25">
      <c r="A63" s="221" t="s">
        <v>23</v>
      </c>
      <c r="B63" s="222"/>
      <c r="C63" s="23" t="s">
        <v>24</v>
      </c>
      <c r="D63" s="134"/>
      <c r="E63" s="97" t="s">
        <v>103</v>
      </c>
      <c r="F63" s="97" t="s">
        <v>104</v>
      </c>
      <c r="G63" s="135"/>
      <c r="H63" s="100" t="s">
        <v>105</v>
      </c>
      <c r="I63" s="139">
        <f>D63*G63</f>
        <v>0</v>
      </c>
      <c r="J63" s="24" t="s">
        <v>25</v>
      </c>
      <c r="W63" s="138">
        <f>COUNTIF(W13:W62,"男○")</f>
        <v>0</v>
      </c>
      <c r="X63" s="138">
        <f>COUNTIF(X13:X62,"男○")</f>
        <v>0</v>
      </c>
      <c r="Y63" s="138">
        <f>COUNTIF(Y13:Y62,"女○")</f>
        <v>0</v>
      </c>
      <c r="Z63" s="138">
        <f>COUNTIF(Z13:Z62,"女○")</f>
        <v>0</v>
      </c>
    </row>
    <row r="64" spans="1:26" ht="18" thickBot="1">
      <c r="A64" s="223"/>
      <c r="B64" s="224"/>
      <c r="C64" s="25" t="s">
        <v>26</v>
      </c>
      <c r="D64" s="98">
        <v>2000</v>
      </c>
      <c r="E64" s="99" t="s">
        <v>103</v>
      </c>
      <c r="F64" s="99" t="s">
        <v>104</v>
      </c>
      <c r="G64" s="136"/>
      <c r="H64" s="101" t="s">
        <v>105</v>
      </c>
      <c r="I64" s="140">
        <f>D64*G64</f>
        <v>0</v>
      </c>
      <c r="J64" s="26" t="s">
        <v>27</v>
      </c>
      <c r="W64" s="1" t="s">
        <v>138</v>
      </c>
      <c r="X64" s="1" t="s">
        <v>139</v>
      </c>
      <c r="Y64" s="1" t="s">
        <v>140</v>
      </c>
      <c r="Z64" s="1" t="s">
        <v>141</v>
      </c>
    </row>
    <row r="65" spans="1:10" ht="18" thickBot="1">
      <c r="A65" s="188" t="s">
        <v>28</v>
      </c>
      <c r="B65" s="189"/>
      <c r="C65" s="190"/>
      <c r="D65" s="103" t="s">
        <v>106</v>
      </c>
      <c r="E65" s="102" t="s">
        <v>103</v>
      </c>
      <c r="F65" s="102" t="s">
        <v>104</v>
      </c>
      <c r="G65" s="137"/>
      <c r="H65" s="1" t="s">
        <v>107</v>
      </c>
      <c r="I65" s="138">
        <f>G65*1000</f>
        <v>0</v>
      </c>
      <c r="J65" s="27" t="s">
        <v>25</v>
      </c>
    </row>
    <row r="66" spans="1:10" ht="18" thickBot="1">
      <c r="A66" s="169" t="s">
        <v>30</v>
      </c>
      <c r="B66" s="170"/>
      <c r="C66" s="170"/>
      <c r="D66" s="170"/>
      <c r="E66" s="170"/>
      <c r="F66" s="170"/>
      <c r="G66" s="170"/>
      <c r="H66" s="191">
        <f>SUM(I63:I65)</f>
        <v>0</v>
      </c>
      <c r="I66" s="192"/>
      <c r="J66" s="29" t="s">
        <v>25</v>
      </c>
    </row>
    <row r="67" spans="3:6" ht="14.25">
      <c r="C67" s="28" t="s">
        <v>29</v>
      </c>
      <c r="E67" s="18"/>
      <c r="F67" s="18"/>
    </row>
    <row r="68" spans="3:6" ht="14.25">
      <c r="C68" s="176" t="s">
        <v>31</v>
      </c>
      <c r="D68" s="177"/>
      <c r="E68" s="177"/>
      <c r="F68" s="177"/>
    </row>
  </sheetData>
  <sheetProtection password="CD83" sheet="1" objects="1" scenarios="1"/>
  <mergeCells count="30">
    <mergeCell ref="A1:L1"/>
    <mergeCell ref="I10:J10"/>
    <mergeCell ref="A63:B64"/>
    <mergeCell ref="A10:A11"/>
    <mergeCell ref="B10:B11"/>
    <mergeCell ref="C10:C11"/>
    <mergeCell ref="D10:D11"/>
    <mergeCell ref="E10:E11"/>
    <mergeCell ref="F10:F11"/>
    <mergeCell ref="A3:C3"/>
    <mergeCell ref="A4:C4"/>
    <mergeCell ref="A5:C5"/>
    <mergeCell ref="A8:C8"/>
    <mergeCell ref="I8:J8"/>
    <mergeCell ref="A6:C6"/>
    <mergeCell ref="A7:C7"/>
    <mergeCell ref="D5:K5"/>
    <mergeCell ref="D3:L3"/>
    <mergeCell ref="D4:L4"/>
    <mergeCell ref="E8:H8"/>
    <mergeCell ref="E9:H9"/>
    <mergeCell ref="D7:L7"/>
    <mergeCell ref="D6:L6"/>
    <mergeCell ref="A66:G66"/>
    <mergeCell ref="A9:C9"/>
    <mergeCell ref="I9:J9"/>
    <mergeCell ref="C68:F68"/>
    <mergeCell ref="A65:C65"/>
    <mergeCell ref="H66:I66"/>
    <mergeCell ref="G10:H10"/>
  </mergeCells>
  <dataValidations count="24">
    <dataValidation allowBlank="1" showInputMessage="1" showErrorMessage="1" promptTitle="必須" prompt="申し込みに関する連絡をさせていただく場合がありますので、必ず記入ください。&#13;" sqref="A7:C7"/>
    <dataValidation allowBlank="1" showInputMessage="1" showErrorMessage="1" promptTitle="必須" prompt="プログラム編成会議は１８時以降に行われますので、夜間に連絡がとれる番号をご記入ください。" sqref="A9:C9"/>
    <dataValidation allowBlank="1" showInputMessage="1" showErrorMessage="1" promptTitle="1600mR" prompt="記録を入力してください&#10;100分の1まで入力してください" sqref="L8:L9"/>
    <dataValidation allowBlank="1" showInputMessage="1" showErrorMessage="1" promptTitle="400mR" prompt="記録を入力してください&#10;100分の1まで入力してください" sqref="K8:K9"/>
    <dataValidation allowBlank="1" showInputMessage="1" showErrorMessage="1" prompt="印刷して送付するものに押印ください" sqref="L5"/>
    <dataValidation allowBlank="1" showInputMessage="1" showErrorMessage="1" prompt="夜間に連絡がつく番号をご記入ください" sqref="E9:H9"/>
    <dataValidation allowBlank="1" showInputMessage="1" showErrorMessage="1" prompt="電話番号をご記入ください" sqref="E8:H8"/>
    <dataValidation allowBlank="1" showInputMessage="1" showErrorMessage="1" prompt="連絡用にメールアドレスをご記入ください。&#10;携帯でも構いません。" sqref="D7"/>
    <dataValidation allowBlank="1" showInputMessage="1" showErrorMessage="1" prompt="連絡先住所をご記入ください" sqref="D6"/>
    <dataValidation allowBlank="1" showInputMessage="1" showErrorMessage="1" prompt="申込み責任者のお名前をご記入ください" sqref="D5"/>
    <dataValidation allowBlank="1" showInputMessage="1" showErrorMessage="1" promptTitle="団体名" prompt="団体名をご記入ください" sqref="D4:L4"/>
    <dataValidation allowBlank="1" showInputMessage="1" showErrorMessage="1" promptTitle="フリガナ" prompt="団体のフリガナをご記入ください" imeMode="halfKatakana" sqref="D3:L3"/>
    <dataValidation type="list" allowBlank="1" showInputMessage="1" showErrorMessage="1" promptTitle="リレーメンバー" prompt="プログラムに記載する6名を選択してください" sqref="K13:L62">
      <formula1>リレー</formula1>
    </dataValidation>
    <dataValidation allowBlank="1" showInputMessage="1" showErrorMessage="1" promptTitle="記録入力について" prompt="記録入力は、トラックは100分の1まで、フィールドはｃｍまで入力してください。" sqref="J13:J62 H13:H62"/>
    <dataValidation allowBlank="1" showInputMessage="1" showErrorMessage="1" prompt="学生のみ、学年をご記入ください" sqref="F13:F62"/>
    <dataValidation allowBlank="1" showInputMessage="1" showErrorMessage="1" prompt="フリガナをご記入ください" sqref="D13:D62"/>
    <dataValidation allowBlank="1" showInputMessage="1" showErrorMessage="1" prompt="氏名をご記入ください" sqref="C13:C62"/>
    <dataValidation allowBlank="1" showInputMessage="1" showErrorMessage="1" prompt="2012年の登録番号をご記入ください" sqref="B13:B62"/>
    <dataValidation allowBlank="1" showInputMessage="1" showErrorMessage="1" prompt="種目数を入力してください。" sqref="G63:G64"/>
    <dataValidation allowBlank="1" showInputMessage="1" showErrorMessage="1" prompt="購入部数を入力してください。" sqref="G65"/>
    <dataValidation allowBlank="1" showInputMessage="1" showErrorMessage="1" prompt="各カテゴリの参加料を入力してください。" sqref="D63"/>
    <dataValidation type="list" allowBlank="1" showInputMessage="1" showErrorMessage="1" prompt="ドロップダウンリストから性別を選択してください.。&#13;&#13;種目選択の前に、性別を選択してください。" sqref="E13:E62">
      <formula1>$Q$13:$Q$14</formula1>
    </dataValidation>
    <dataValidation type="list" allowBlank="1" showInputMessage="1" showErrorMessage="1" prompt="種目をドロップダウンリストから選択してください。&#13;&#10;&#10;先に性別を選択してください。" sqref="G13:G62">
      <formula1>IF(E13="男",男子種目,$S$13:$S$31)</formula1>
    </dataValidation>
    <dataValidation type="list" allowBlank="1" showInputMessage="1" showErrorMessage="1" prompt="種目をドロップダウンリストから選択してください。&#13;&#10;&#10;先に性別を選択してください。" sqref="I13:I62">
      <formula1>IF(E13="男",男子種目,女子種目)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orientation="portrait" paperSize="9" scale="75"/>
  <headerFooter alignWithMargins="0">
    <oddHeader>&amp;R&amp;D</oddHeader>
  </headerFooter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E5" sqref="E5"/>
    </sheetView>
  </sheetViews>
  <sheetFormatPr defaultColWidth="8.875" defaultRowHeight="14.25"/>
  <cols>
    <col min="1" max="1" width="4.625" style="34" customWidth="1"/>
    <col min="2" max="2" width="4.125" style="1" hidden="1" customWidth="1"/>
    <col min="3" max="3" width="4.00390625" style="35" hidden="1" customWidth="1"/>
    <col min="4" max="4" width="3.375" style="1" hidden="1" customWidth="1"/>
    <col min="5" max="5" width="15.625" style="36" customWidth="1"/>
    <col min="6" max="6" width="3.00390625" style="37" customWidth="1"/>
    <col min="7" max="7" width="14.625" style="1" customWidth="1"/>
    <col min="8" max="8" width="8.375" style="1" customWidth="1"/>
    <col min="9" max="9" width="4.625" style="1" customWidth="1"/>
    <col min="10" max="12" width="3.875" style="1" hidden="1" customWidth="1"/>
    <col min="13" max="13" width="15.625" style="34" customWidth="1"/>
    <col min="14" max="14" width="3.125" style="1" customWidth="1"/>
    <col min="15" max="15" width="14.625" style="1" customWidth="1"/>
    <col min="16" max="16" width="4.625" style="1" customWidth="1"/>
    <col min="17" max="28" width="0" style="1" hidden="1" customWidth="1"/>
    <col min="29" max="16384" width="8.875" style="1" customWidth="1"/>
  </cols>
  <sheetData>
    <row r="1" spans="1:15" ht="28.5">
      <c r="A1" s="241" t="s">
        <v>117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28.5">
      <c r="A2" s="244" t="s">
        <v>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21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33</v>
      </c>
    </row>
    <row r="4" spans="1:15" ht="31.5">
      <c r="A4" s="31"/>
      <c r="B4" s="31"/>
      <c r="C4" s="31"/>
      <c r="D4" s="31"/>
      <c r="E4" s="31"/>
      <c r="F4" s="31"/>
      <c r="G4" s="33" t="s">
        <v>34</v>
      </c>
      <c r="H4" s="238">
        <f>IF('一覧表'!D4="","",'一覧表'!D4)</f>
      </c>
      <c r="I4" s="239"/>
      <c r="J4" s="239"/>
      <c r="K4" s="239"/>
      <c r="L4" s="239"/>
      <c r="M4" s="239"/>
      <c r="N4" s="239"/>
      <c r="O4" s="240"/>
    </row>
    <row r="5" spans="8:15" ht="39" customHeight="1" thickBot="1">
      <c r="H5" s="245" t="s">
        <v>35</v>
      </c>
      <c r="I5" s="245"/>
      <c r="J5" s="245"/>
      <c r="K5" s="245"/>
      <c r="L5" s="245"/>
      <c r="M5" s="245"/>
      <c r="N5" s="245"/>
      <c r="O5" s="245"/>
    </row>
    <row r="6" spans="1:15" ht="18.75">
      <c r="A6" s="38"/>
      <c r="B6" s="39"/>
      <c r="C6" s="40"/>
      <c r="D6" s="39"/>
      <c r="E6" s="246" t="s">
        <v>36</v>
      </c>
      <c r="F6" s="246"/>
      <c r="G6" s="247"/>
      <c r="H6" s="37"/>
      <c r="I6" s="41"/>
      <c r="J6" s="39"/>
      <c r="K6" s="39"/>
      <c r="L6" s="39"/>
      <c r="M6" s="248" t="s">
        <v>37</v>
      </c>
      <c r="N6" s="248"/>
      <c r="O6" s="249"/>
    </row>
    <row r="7" spans="1:25" ht="14.25">
      <c r="A7" s="42" t="s">
        <v>38</v>
      </c>
      <c r="B7" s="43"/>
      <c r="C7" s="43"/>
      <c r="D7" s="43"/>
      <c r="E7" s="44" t="s">
        <v>39</v>
      </c>
      <c r="F7" s="45"/>
      <c r="G7" s="46" t="s">
        <v>40</v>
      </c>
      <c r="H7" s="47"/>
      <c r="I7" s="42"/>
      <c r="J7" s="43"/>
      <c r="K7" s="43"/>
      <c r="L7" s="48"/>
      <c r="M7" s="44" t="s">
        <v>39</v>
      </c>
      <c r="N7" s="45"/>
      <c r="O7" s="46" t="s">
        <v>40</v>
      </c>
      <c r="R7" s="1">
        <v>1</v>
      </c>
      <c r="S7" s="1">
        <v>2</v>
      </c>
      <c r="T7" s="1" t="s">
        <v>127</v>
      </c>
      <c r="U7" s="1">
        <v>1</v>
      </c>
      <c r="V7" s="1">
        <v>2</v>
      </c>
      <c r="W7" s="1" t="s">
        <v>127</v>
      </c>
      <c r="X7" s="1" t="s">
        <v>72</v>
      </c>
      <c r="Y7" s="1" t="s">
        <v>73</v>
      </c>
    </row>
    <row r="8" spans="1:25" s="55" customFormat="1" ht="14.25">
      <c r="A8" s="49">
        <v>1</v>
      </c>
      <c r="B8" s="50">
        <v>12</v>
      </c>
      <c r="C8" s="51" t="e">
        <f>VLOOKUP(B8,B$41:C$41,2,TRUE)</f>
        <v>#N/A</v>
      </c>
      <c r="D8" s="50">
        <v>1</v>
      </c>
      <c r="E8" s="52" t="s">
        <v>41</v>
      </c>
      <c r="F8" s="53"/>
      <c r="G8" s="165">
        <f>IF(T8=0,"",T8)</f>
      </c>
      <c r="H8" s="54"/>
      <c r="I8" s="49">
        <v>1</v>
      </c>
      <c r="J8" s="50">
        <v>11</v>
      </c>
      <c r="K8" s="51" t="s">
        <v>42</v>
      </c>
      <c r="L8" s="50">
        <v>1</v>
      </c>
      <c r="M8" s="52" t="s">
        <v>41</v>
      </c>
      <c r="N8" s="53"/>
      <c r="O8" s="165">
        <f>IF(W8=0,"",W8)</f>
      </c>
      <c r="R8" s="1">
        <f>COUNTIF('一覧表'!$U$13:$U$62,"男100m")</f>
        <v>0</v>
      </c>
      <c r="S8" s="1">
        <f>COUNTIF('一覧表'!$V$13:$V$62,"男100m")</f>
        <v>0</v>
      </c>
      <c r="T8" s="55">
        <f>SUM(R8:S8)</f>
        <v>0</v>
      </c>
      <c r="U8" s="1">
        <f>COUNTIF('一覧表'!$U$13:$U$62,"女100m")</f>
        <v>0</v>
      </c>
      <c r="V8" s="1">
        <f>COUNTIF('一覧表'!$V$13:$V$62,"女100m")</f>
        <v>0</v>
      </c>
      <c r="W8" s="55">
        <f>SUM(U8:V8)</f>
        <v>0</v>
      </c>
      <c r="X8" s="1" t="s">
        <v>76</v>
      </c>
      <c r="Y8" s="1" t="s">
        <v>76</v>
      </c>
    </row>
    <row r="9" spans="1:25" s="55" customFormat="1" ht="14.25">
      <c r="A9" s="49">
        <v>2</v>
      </c>
      <c r="B9" s="50">
        <v>12</v>
      </c>
      <c r="C9" s="51" t="e">
        <f>VLOOKUP(B9,#REF!,2,TRUE)</f>
        <v>#REF!</v>
      </c>
      <c r="D9" s="50">
        <v>2</v>
      </c>
      <c r="E9" s="52" t="s">
        <v>43</v>
      </c>
      <c r="F9" s="53"/>
      <c r="G9" s="165">
        <f aca="true" t="shared" si="0" ref="G9:G33">IF(T9=0,"",T9)</f>
      </c>
      <c r="H9" s="54"/>
      <c r="I9" s="49">
        <v>2</v>
      </c>
      <c r="J9" s="50">
        <v>11</v>
      </c>
      <c r="K9" s="51" t="s">
        <v>42</v>
      </c>
      <c r="L9" s="50">
        <v>2</v>
      </c>
      <c r="M9" s="52" t="s">
        <v>43</v>
      </c>
      <c r="N9" s="53"/>
      <c r="O9" s="165">
        <f aca="true" t="shared" si="1" ref="O9:O26">IF(W9=0,"",W9)</f>
      </c>
      <c r="R9" s="1">
        <f>COUNTIF('一覧表'!$U$13:$U$62,"男200m")</f>
        <v>0</v>
      </c>
      <c r="S9" s="1">
        <f>COUNTIF('一覧表'!$V$13:$V$62,"男200m")</f>
        <v>0</v>
      </c>
      <c r="T9" s="55">
        <f aca="true" t="shared" si="2" ref="T9:T33">SUM(R9:S9)</f>
        <v>0</v>
      </c>
      <c r="U9" s="1">
        <f>COUNTIF('一覧表'!$U$13:$U$62,"女200m")</f>
        <v>0</v>
      </c>
      <c r="V9" s="1">
        <f>COUNTIF('一覧表'!$V$13:$V$62,"女200m")</f>
        <v>0</v>
      </c>
      <c r="W9" s="55">
        <f aca="true" t="shared" si="3" ref="W9:W26">SUM(U9:V9)</f>
        <v>0</v>
      </c>
      <c r="X9" s="1" t="s">
        <v>78</v>
      </c>
      <c r="Y9" s="1" t="s">
        <v>78</v>
      </c>
    </row>
    <row r="10" spans="1:25" s="55" customFormat="1" ht="14.25">
      <c r="A10" s="49">
        <v>3</v>
      </c>
      <c r="B10" s="50">
        <v>12</v>
      </c>
      <c r="C10" s="51" t="e">
        <f>VLOOKUP(B10,B$41:C$41,2,TRUE)</f>
        <v>#N/A</v>
      </c>
      <c r="D10" s="50">
        <v>3</v>
      </c>
      <c r="E10" s="52" t="s">
        <v>44</v>
      </c>
      <c r="F10" s="53"/>
      <c r="G10" s="165">
        <f t="shared" si="0"/>
      </c>
      <c r="H10" s="54"/>
      <c r="I10" s="49">
        <v>3</v>
      </c>
      <c r="J10" s="50">
        <v>11</v>
      </c>
      <c r="K10" s="51" t="s">
        <v>42</v>
      </c>
      <c r="L10" s="50">
        <v>3</v>
      </c>
      <c r="M10" s="52" t="s">
        <v>44</v>
      </c>
      <c r="N10" s="53"/>
      <c r="O10" s="165">
        <f t="shared" si="1"/>
      </c>
      <c r="R10" s="1">
        <f>COUNTIF('一覧表'!$U$13:$U$62,"男400m")</f>
        <v>0</v>
      </c>
      <c r="S10" s="1">
        <f>COUNTIF('一覧表'!$V$13:$V$62,"男400m")</f>
        <v>0</v>
      </c>
      <c r="T10" s="55">
        <f t="shared" si="2"/>
        <v>0</v>
      </c>
      <c r="U10" s="1">
        <f>COUNTIF('一覧表'!$U$13:$U$62,"女400m")</f>
        <v>0</v>
      </c>
      <c r="V10" s="1">
        <f>COUNTIF('一覧表'!$V$13:$V$62,"女400m")</f>
        <v>0</v>
      </c>
      <c r="W10" s="55">
        <f t="shared" si="3"/>
        <v>0</v>
      </c>
      <c r="X10" s="1" t="s">
        <v>79</v>
      </c>
      <c r="Y10" s="1" t="s">
        <v>79</v>
      </c>
    </row>
    <row r="11" spans="1:25" s="55" customFormat="1" ht="14.25">
      <c r="A11" s="49">
        <v>4</v>
      </c>
      <c r="B11" s="50">
        <v>12</v>
      </c>
      <c r="C11" s="51" t="e">
        <f>VLOOKUP(B11,#REF!,2,TRUE)</f>
        <v>#REF!</v>
      </c>
      <c r="D11" s="50">
        <v>4</v>
      </c>
      <c r="E11" s="52" t="s">
        <v>45</v>
      </c>
      <c r="F11" s="53"/>
      <c r="G11" s="165">
        <f t="shared" si="0"/>
      </c>
      <c r="H11" s="54"/>
      <c r="I11" s="49">
        <v>4</v>
      </c>
      <c r="J11" s="50">
        <v>11</v>
      </c>
      <c r="K11" s="51" t="s">
        <v>42</v>
      </c>
      <c r="L11" s="50">
        <v>4</v>
      </c>
      <c r="M11" s="52" t="s">
        <v>45</v>
      </c>
      <c r="N11" s="53"/>
      <c r="O11" s="165">
        <f t="shared" si="1"/>
      </c>
      <c r="R11" s="1">
        <f>COUNTIF('一覧表'!$U$13:$U$62,"男800m")</f>
        <v>0</v>
      </c>
      <c r="S11" s="1">
        <f>COUNTIF('一覧表'!$V$13:$V$62,"男800m")</f>
        <v>0</v>
      </c>
      <c r="T11" s="55">
        <f t="shared" si="2"/>
        <v>0</v>
      </c>
      <c r="U11" s="1">
        <f>COUNTIF('一覧表'!$U$13:$U$62,"女800m")</f>
        <v>0</v>
      </c>
      <c r="V11" s="1">
        <f>COUNTIF('一覧表'!$V$13:$V$62,"女800m")</f>
        <v>0</v>
      </c>
      <c r="W11" s="55">
        <f t="shared" si="3"/>
        <v>0</v>
      </c>
      <c r="X11" s="1" t="s">
        <v>80</v>
      </c>
      <c r="Y11" s="1" t="s">
        <v>80</v>
      </c>
    </row>
    <row r="12" spans="1:25" s="55" customFormat="1" ht="14.25">
      <c r="A12" s="49">
        <v>5</v>
      </c>
      <c r="B12" s="50">
        <v>12</v>
      </c>
      <c r="C12" s="51" t="e">
        <f>VLOOKUP(B12,B$41:C$41,2,TRUE)</f>
        <v>#N/A</v>
      </c>
      <c r="D12" s="50">
        <v>5</v>
      </c>
      <c r="E12" s="52" t="s">
        <v>46</v>
      </c>
      <c r="F12" s="53"/>
      <c r="G12" s="165">
        <f t="shared" si="0"/>
      </c>
      <c r="H12" s="54"/>
      <c r="I12" s="49">
        <v>5</v>
      </c>
      <c r="J12" s="50">
        <v>11</v>
      </c>
      <c r="K12" s="51" t="s">
        <v>42</v>
      </c>
      <c r="L12" s="50">
        <v>5</v>
      </c>
      <c r="M12" s="52" t="s">
        <v>46</v>
      </c>
      <c r="N12" s="53"/>
      <c r="O12" s="165">
        <f t="shared" si="1"/>
      </c>
      <c r="R12" s="1">
        <f>COUNTIF('一覧表'!$U$13:$U$62,"男1500m")</f>
        <v>0</v>
      </c>
      <c r="S12" s="1">
        <f>COUNTIF('一覧表'!$V$13:$V$62,"男1500m")</f>
        <v>0</v>
      </c>
      <c r="T12" s="55">
        <f t="shared" si="2"/>
        <v>0</v>
      </c>
      <c r="U12" s="1">
        <f>COUNTIF('一覧表'!$U$13:$U$62,"女1500m")</f>
        <v>0</v>
      </c>
      <c r="V12" s="1">
        <f>COUNTIF('一覧表'!$V$13:$V$62,"女1500m")</f>
        <v>0</v>
      </c>
      <c r="W12" s="55">
        <f t="shared" si="3"/>
        <v>0</v>
      </c>
      <c r="X12" s="1" t="s">
        <v>81</v>
      </c>
      <c r="Y12" s="1" t="s">
        <v>81</v>
      </c>
    </row>
    <row r="13" spans="1:25" s="55" customFormat="1" ht="14.25">
      <c r="A13" s="49">
        <v>6</v>
      </c>
      <c r="B13" s="50">
        <v>12</v>
      </c>
      <c r="C13" s="51" t="e">
        <f>VLOOKUP(B13,B$41:C$41,2,TRUE)</f>
        <v>#N/A</v>
      </c>
      <c r="D13" s="50">
        <v>7</v>
      </c>
      <c r="E13" s="52" t="s">
        <v>47</v>
      </c>
      <c r="F13" s="53"/>
      <c r="G13" s="165">
        <f t="shared" si="0"/>
      </c>
      <c r="H13" s="54"/>
      <c r="I13" s="49">
        <v>6</v>
      </c>
      <c r="J13" s="50">
        <v>11</v>
      </c>
      <c r="K13" s="51" t="s">
        <v>42</v>
      </c>
      <c r="L13" s="50">
        <v>6</v>
      </c>
      <c r="M13" s="52" t="s">
        <v>48</v>
      </c>
      <c r="N13" s="53"/>
      <c r="O13" s="165">
        <f t="shared" si="1"/>
      </c>
      <c r="R13" s="1">
        <f>COUNTIF('一覧表'!$U$13:$U$62,"男5000m")</f>
        <v>0</v>
      </c>
      <c r="S13" s="1">
        <f>COUNTIF('一覧表'!$V$13:$V$62,"男5000m")</f>
        <v>0</v>
      </c>
      <c r="T13" s="55">
        <f t="shared" si="2"/>
        <v>0</v>
      </c>
      <c r="U13" s="1">
        <f>COUNTIF('一覧表'!$U$13:$U$62,"女3000m")</f>
        <v>0</v>
      </c>
      <c r="V13" s="1">
        <f>COUNTIF('一覧表'!$V$13:$V$62,"女3000m")</f>
        <v>0</v>
      </c>
      <c r="W13" s="55">
        <f t="shared" si="3"/>
        <v>0</v>
      </c>
      <c r="X13" s="1" t="s">
        <v>82</v>
      </c>
      <c r="Y13" s="1" t="s">
        <v>83</v>
      </c>
    </row>
    <row r="14" spans="1:25" s="55" customFormat="1" ht="14.25">
      <c r="A14" s="49">
        <v>7</v>
      </c>
      <c r="B14" s="50"/>
      <c r="C14" s="51"/>
      <c r="D14" s="50"/>
      <c r="E14" s="52" t="s">
        <v>49</v>
      </c>
      <c r="F14" s="53" t="s">
        <v>50</v>
      </c>
      <c r="G14" s="165">
        <f t="shared" si="0"/>
      </c>
      <c r="H14" s="54"/>
      <c r="I14" s="49">
        <v>7</v>
      </c>
      <c r="J14" s="50"/>
      <c r="K14" s="51"/>
      <c r="L14" s="50"/>
      <c r="M14" s="52" t="s">
        <v>47</v>
      </c>
      <c r="N14" s="53"/>
      <c r="O14" s="165">
        <f t="shared" si="1"/>
      </c>
      <c r="R14" s="1">
        <f>COUNTIF('一覧表'!$U$13:$U$62,"男110mH")</f>
        <v>0</v>
      </c>
      <c r="S14" s="1">
        <f>COUNTIF('一覧表'!$V$13:$V$62,"男110mH")</f>
        <v>0</v>
      </c>
      <c r="T14" s="55">
        <f t="shared" si="2"/>
        <v>0</v>
      </c>
      <c r="U14" s="1">
        <f>COUNTIF('一覧表'!$U$13:$U$62,"女5000m")</f>
        <v>0</v>
      </c>
      <c r="V14" s="1">
        <f>COUNTIF('一覧表'!$V$13:$V$62,"女5000m")</f>
        <v>0</v>
      </c>
      <c r="W14" s="55">
        <f t="shared" si="3"/>
        <v>0</v>
      </c>
      <c r="X14" s="1" t="s">
        <v>84</v>
      </c>
      <c r="Y14" s="1" t="s">
        <v>82</v>
      </c>
    </row>
    <row r="15" spans="1:25" s="55" customFormat="1" ht="14.25">
      <c r="A15" s="49">
        <v>8</v>
      </c>
      <c r="B15" s="50"/>
      <c r="C15" s="51"/>
      <c r="D15" s="50"/>
      <c r="E15" s="52" t="s">
        <v>124</v>
      </c>
      <c r="F15" s="53" t="s">
        <v>119</v>
      </c>
      <c r="G15" s="165">
        <f t="shared" si="0"/>
      </c>
      <c r="H15" s="54"/>
      <c r="I15" s="49">
        <v>8</v>
      </c>
      <c r="J15" s="50">
        <v>11</v>
      </c>
      <c r="K15" s="51" t="s">
        <v>42</v>
      </c>
      <c r="L15" s="50">
        <v>1</v>
      </c>
      <c r="M15" s="52" t="s">
        <v>41</v>
      </c>
      <c r="N15" s="53" t="s">
        <v>50</v>
      </c>
      <c r="O15" s="165">
        <f t="shared" si="1"/>
      </c>
      <c r="R15" s="1">
        <f>COUNTIF('一覧表'!$U$13:$U$62,"男少110mYH")</f>
        <v>0</v>
      </c>
      <c r="S15" s="1">
        <f>COUNTIF('一覧表'!$V$13:$V$62,"男少110mYH")</f>
        <v>0</v>
      </c>
      <c r="T15" s="55">
        <f t="shared" si="2"/>
        <v>0</v>
      </c>
      <c r="U15" s="1">
        <f>COUNTIF('一覧表'!$U$13:$U$62,"女100mH")</f>
        <v>0</v>
      </c>
      <c r="V15" s="1">
        <f>COUNTIF('一覧表'!$V$13:$V$62,"女100mH")</f>
        <v>0</v>
      </c>
      <c r="W15" s="55">
        <f t="shared" si="3"/>
        <v>0</v>
      </c>
      <c r="X15" s="1" t="s">
        <v>108</v>
      </c>
      <c r="Y15" s="1" t="s">
        <v>85</v>
      </c>
    </row>
    <row r="16" spans="1:25" s="55" customFormat="1" ht="14.25">
      <c r="A16" s="49">
        <v>9</v>
      </c>
      <c r="B16" s="50">
        <v>12</v>
      </c>
      <c r="C16" s="51" t="e">
        <f>VLOOKUP(B16,B$41:C$41,2,TRUE)</f>
        <v>#N/A</v>
      </c>
      <c r="D16" s="50">
        <v>9</v>
      </c>
      <c r="E16" s="52" t="s">
        <v>44</v>
      </c>
      <c r="F16" s="53" t="s">
        <v>50</v>
      </c>
      <c r="G16" s="165">
        <f t="shared" si="0"/>
      </c>
      <c r="H16" s="54"/>
      <c r="I16" s="49">
        <v>9</v>
      </c>
      <c r="J16" s="56"/>
      <c r="K16" s="51"/>
      <c r="L16" s="50"/>
      <c r="M16" s="52" t="s">
        <v>123</v>
      </c>
      <c r="N16" s="53" t="s">
        <v>119</v>
      </c>
      <c r="O16" s="165">
        <f t="shared" si="1"/>
      </c>
      <c r="R16" s="1">
        <f>COUNTIF('一覧表'!$U$13:$U$62,"男400mH")</f>
        <v>0</v>
      </c>
      <c r="S16" s="1">
        <f>COUNTIF('一覧表'!$V$13:$V$62,"男400mH")</f>
        <v>0</v>
      </c>
      <c r="T16" s="55">
        <f t="shared" si="2"/>
        <v>0</v>
      </c>
      <c r="U16" s="1">
        <f>COUNTIF('一覧表'!$U$13:$U$62,"女少B100mYH")</f>
        <v>0</v>
      </c>
      <c r="V16" s="1">
        <f>COUNTIF('一覧表'!$V$13:$V$62,"女少B100mYH")</f>
        <v>0</v>
      </c>
      <c r="W16" s="55">
        <f t="shared" si="3"/>
        <v>0</v>
      </c>
      <c r="X16" s="1" t="s">
        <v>86</v>
      </c>
      <c r="Y16" s="1" t="s">
        <v>116</v>
      </c>
    </row>
    <row r="17" spans="1:25" s="55" customFormat="1" ht="14.25">
      <c r="A17" s="49">
        <v>10</v>
      </c>
      <c r="B17" s="50">
        <v>12</v>
      </c>
      <c r="C17" s="51" t="e">
        <f>VLOOKUP(B17,B$41:C$41,2,TRUE)</f>
        <v>#N/A</v>
      </c>
      <c r="D17" s="50">
        <v>3</v>
      </c>
      <c r="E17" s="52" t="s">
        <v>48</v>
      </c>
      <c r="F17" s="53" t="s">
        <v>51</v>
      </c>
      <c r="G17" s="165">
        <f t="shared" si="0"/>
      </c>
      <c r="H17" s="54"/>
      <c r="I17" s="49">
        <v>10</v>
      </c>
      <c r="J17" s="56">
        <v>11</v>
      </c>
      <c r="K17" s="51" t="s">
        <v>42</v>
      </c>
      <c r="L17" s="50">
        <v>3</v>
      </c>
      <c r="M17" s="52" t="s">
        <v>44</v>
      </c>
      <c r="N17" s="53" t="s">
        <v>50</v>
      </c>
      <c r="O17" s="165">
        <f t="shared" si="1"/>
      </c>
      <c r="R17" s="1">
        <f>COUNTIF('一覧表'!$U$13:$U$62,"男3000mSC")</f>
        <v>0</v>
      </c>
      <c r="S17" s="1">
        <f>COUNTIF('一覧表'!$V$13:$V$62,"男3000mSC")</f>
        <v>0</v>
      </c>
      <c r="T17" s="55">
        <f t="shared" si="2"/>
        <v>0</v>
      </c>
      <c r="U17" s="1">
        <f>COUNTIF('一覧表'!$U$13:$U$62,"女400mH")</f>
        <v>0</v>
      </c>
      <c r="V17" s="1">
        <f>COUNTIF('一覧表'!$V$13:$V$62,"女400mH")</f>
        <v>0</v>
      </c>
      <c r="W17" s="55">
        <f t="shared" si="3"/>
        <v>0</v>
      </c>
      <c r="X17" s="1" t="s">
        <v>87</v>
      </c>
      <c r="Y17" s="1" t="s">
        <v>131</v>
      </c>
    </row>
    <row r="18" spans="1:25" s="55" customFormat="1" ht="14.25">
      <c r="A18" s="49">
        <v>11</v>
      </c>
      <c r="B18" s="50">
        <v>12</v>
      </c>
      <c r="C18" s="51" t="e">
        <f>VLOOKUP(B18,#REF!,2,TRUE)</f>
        <v>#REF!</v>
      </c>
      <c r="D18" s="50">
        <v>6</v>
      </c>
      <c r="E18" s="52" t="s">
        <v>47</v>
      </c>
      <c r="F18" s="53" t="s">
        <v>53</v>
      </c>
      <c r="G18" s="165">
        <f t="shared" si="0"/>
      </c>
      <c r="H18" s="54"/>
      <c r="I18" s="49">
        <v>11</v>
      </c>
      <c r="J18" s="56">
        <v>11</v>
      </c>
      <c r="K18" s="51" t="s">
        <v>42</v>
      </c>
      <c r="L18" s="50">
        <v>6</v>
      </c>
      <c r="M18" s="52" t="s">
        <v>47</v>
      </c>
      <c r="N18" s="53" t="s">
        <v>52</v>
      </c>
      <c r="O18" s="165">
        <f t="shared" si="1"/>
      </c>
      <c r="R18" s="1">
        <f>COUNTIF('一覧表'!$U$13:$U$62,"男5000mW")</f>
        <v>0</v>
      </c>
      <c r="S18" s="1">
        <f>COUNTIF('一覧表'!$V$13:$V$62,"男5000mW")</f>
        <v>0</v>
      </c>
      <c r="T18" s="55">
        <f t="shared" si="2"/>
        <v>0</v>
      </c>
      <c r="U18" s="1">
        <f>COUNTIF('一覧表'!$U$13:$U$62,"女5000mW")</f>
        <v>0</v>
      </c>
      <c r="V18" s="1">
        <f>COUNTIF('一覧表'!$V$13:$V$62,"女5000mW")</f>
        <v>0</v>
      </c>
      <c r="W18" s="55">
        <f t="shared" si="3"/>
        <v>0</v>
      </c>
      <c r="X18" s="1" t="s">
        <v>128</v>
      </c>
      <c r="Y18" s="1" t="s">
        <v>132</v>
      </c>
    </row>
    <row r="19" spans="1:25" s="55" customFormat="1" ht="14.25">
      <c r="A19" s="49">
        <v>12</v>
      </c>
      <c r="B19" s="50">
        <v>12</v>
      </c>
      <c r="C19" s="51" t="e">
        <f>VLOOKUP(B19,#REF!,2,TRUE)</f>
        <v>#REF!</v>
      </c>
      <c r="D19" s="50">
        <v>7</v>
      </c>
      <c r="E19" s="52" t="s">
        <v>54</v>
      </c>
      <c r="F19" s="53" t="s">
        <v>120</v>
      </c>
      <c r="G19" s="165">
        <f t="shared" si="0"/>
      </c>
      <c r="H19" s="54"/>
      <c r="I19" s="49">
        <v>12</v>
      </c>
      <c r="J19" s="56">
        <v>11</v>
      </c>
      <c r="K19" s="51" t="s">
        <v>42</v>
      </c>
      <c r="L19" s="50">
        <v>21</v>
      </c>
      <c r="M19" s="52" t="s">
        <v>54</v>
      </c>
      <c r="N19" s="53" t="s">
        <v>120</v>
      </c>
      <c r="O19" s="165">
        <f t="shared" si="1"/>
      </c>
      <c r="R19" s="1">
        <f>COUNTIF('一覧表'!$U$13:$U$62,"男走高跳A")</f>
        <v>0</v>
      </c>
      <c r="S19" s="1">
        <f>COUNTIF('一覧表'!$V$13:$V$62,"男走高跳A")</f>
        <v>0</v>
      </c>
      <c r="T19" s="55">
        <f t="shared" si="2"/>
        <v>0</v>
      </c>
      <c r="U19" s="1">
        <f>COUNTIF('一覧表'!$U$13:$U$62,"女走高跳A")</f>
        <v>0</v>
      </c>
      <c r="V19" s="1">
        <f>COUNTIF('一覧表'!$V$13:$V$62,"女走高跳A")</f>
        <v>0</v>
      </c>
      <c r="W19" s="55">
        <f t="shared" si="3"/>
        <v>0</v>
      </c>
      <c r="X19" s="1" t="s">
        <v>109</v>
      </c>
      <c r="Y19" s="1" t="s">
        <v>109</v>
      </c>
    </row>
    <row r="20" spans="1:25" s="55" customFormat="1" ht="14.25">
      <c r="A20" s="49">
        <v>13</v>
      </c>
      <c r="B20" s="50"/>
      <c r="C20" s="51"/>
      <c r="D20" s="50"/>
      <c r="E20" s="52" t="s">
        <v>54</v>
      </c>
      <c r="F20" s="53" t="s">
        <v>121</v>
      </c>
      <c r="G20" s="165">
        <f t="shared" si="0"/>
      </c>
      <c r="H20" s="54"/>
      <c r="I20" s="49">
        <v>13</v>
      </c>
      <c r="J20" s="56">
        <v>11</v>
      </c>
      <c r="K20" s="51" t="s">
        <v>42</v>
      </c>
      <c r="L20" s="50">
        <v>23</v>
      </c>
      <c r="M20" s="52" t="s">
        <v>54</v>
      </c>
      <c r="N20" s="53" t="s">
        <v>121</v>
      </c>
      <c r="O20" s="165">
        <f t="shared" si="1"/>
      </c>
      <c r="R20" s="1">
        <f>COUNTIF('一覧表'!$U$13:$U$62,"男走高跳B")</f>
        <v>0</v>
      </c>
      <c r="S20" s="1">
        <f>COUNTIF('一覧表'!$V$13:$V$62,"男走高跳B")</f>
        <v>0</v>
      </c>
      <c r="T20" s="55">
        <f t="shared" si="2"/>
        <v>0</v>
      </c>
      <c r="U20" s="1">
        <f>COUNTIF('一覧表'!$U$13:$U$62,"女走高跳B")</f>
        <v>0</v>
      </c>
      <c r="V20" s="1">
        <f>COUNTIF('一覧表'!$V$13:$V$62,"女走高跳B")</f>
        <v>0</v>
      </c>
      <c r="W20" s="55">
        <f t="shared" si="3"/>
        <v>0</v>
      </c>
      <c r="X20" s="1" t="s">
        <v>110</v>
      </c>
      <c r="Y20" s="1" t="s">
        <v>110</v>
      </c>
    </row>
    <row r="21" spans="1:25" s="55" customFormat="1" ht="14.25">
      <c r="A21" s="49">
        <v>14</v>
      </c>
      <c r="B21" s="50"/>
      <c r="C21" s="51"/>
      <c r="D21" s="50"/>
      <c r="E21" s="52" t="s">
        <v>122</v>
      </c>
      <c r="F21" s="53" t="s">
        <v>120</v>
      </c>
      <c r="G21" s="165">
        <f t="shared" si="0"/>
      </c>
      <c r="H21" s="54"/>
      <c r="I21" s="49">
        <v>14</v>
      </c>
      <c r="J21" s="56">
        <v>11</v>
      </c>
      <c r="K21" s="51" t="s">
        <v>42</v>
      </c>
      <c r="L21" s="50">
        <v>24</v>
      </c>
      <c r="M21" s="52" t="s">
        <v>122</v>
      </c>
      <c r="N21" s="53"/>
      <c r="O21" s="165">
        <f t="shared" si="1"/>
      </c>
      <c r="R21" s="1">
        <f>COUNTIF('一覧表'!$U$13:$U$62,"男棒高跳A")</f>
        <v>0</v>
      </c>
      <c r="S21" s="1">
        <f>COUNTIF('一覧表'!$V$13:$V$62,"男棒高跳A")</f>
        <v>0</v>
      </c>
      <c r="T21" s="55">
        <f t="shared" si="2"/>
        <v>0</v>
      </c>
      <c r="U21" s="1">
        <f>COUNTIF('一覧表'!$U$13:$U$62,"女棒高跳")</f>
        <v>0</v>
      </c>
      <c r="V21" s="1">
        <f>COUNTIF('一覧表'!$V$13:$V$62,"女棒高跳")</f>
        <v>0</v>
      </c>
      <c r="W21" s="55">
        <f t="shared" si="3"/>
        <v>0</v>
      </c>
      <c r="X21" s="1" t="s">
        <v>111</v>
      </c>
      <c r="Y21" s="1" t="s">
        <v>133</v>
      </c>
    </row>
    <row r="22" spans="1:25" s="55" customFormat="1" ht="14.25">
      <c r="A22" s="49">
        <v>15</v>
      </c>
      <c r="B22" s="50"/>
      <c r="C22" s="51"/>
      <c r="D22" s="50"/>
      <c r="E22" s="52" t="s">
        <v>122</v>
      </c>
      <c r="F22" s="53" t="s">
        <v>121</v>
      </c>
      <c r="G22" s="165">
        <f t="shared" si="0"/>
      </c>
      <c r="H22" s="54"/>
      <c r="I22" s="49">
        <v>15</v>
      </c>
      <c r="J22" s="56"/>
      <c r="K22" s="51"/>
      <c r="L22" s="50"/>
      <c r="M22" s="52" t="s">
        <v>55</v>
      </c>
      <c r="N22" s="53"/>
      <c r="O22" s="165">
        <f t="shared" si="1"/>
      </c>
      <c r="R22" s="1">
        <f>COUNTIF('一覧表'!$U$13:$U$62,"男棒高跳B")</f>
        <v>0</v>
      </c>
      <c r="S22" s="1">
        <f>COUNTIF('一覧表'!$V$13:$V$62,"男棒高跳B")</f>
        <v>0</v>
      </c>
      <c r="T22" s="55">
        <f t="shared" si="2"/>
        <v>0</v>
      </c>
      <c r="U22" s="1">
        <f>COUNTIF('一覧表'!$U$13:$U$62,"女走幅跳")</f>
        <v>0</v>
      </c>
      <c r="V22" s="1">
        <f>COUNTIF('一覧表'!$V$13:$V$62,"女走幅跳")</f>
        <v>0</v>
      </c>
      <c r="W22" s="55">
        <f t="shared" si="3"/>
        <v>0</v>
      </c>
      <c r="X22" s="1" t="s">
        <v>112</v>
      </c>
      <c r="Y22" s="1" t="s">
        <v>89</v>
      </c>
    </row>
    <row r="23" spans="1:25" s="55" customFormat="1" ht="14.25">
      <c r="A23" s="49">
        <v>16</v>
      </c>
      <c r="B23" s="50">
        <v>12</v>
      </c>
      <c r="C23" s="51" t="e">
        <f>VLOOKUP(B23,B$38:C$41,2,TRUE)</f>
        <v>#N/A</v>
      </c>
      <c r="D23" s="50">
        <v>23</v>
      </c>
      <c r="E23" s="52" t="s">
        <v>55</v>
      </c>
      <c r="F23" s="53"/>
      <c r="G23" s="165">
        <f t="shared" si="0"/>
      </c>
      <c r="H23" s="54"/>
      <c r="I23" s="49">
        <v>16</v>
      </c>
      <c r="J23" s="56">
        <v>11</v>
      </c>
      <c r="K23" s="51" t="s">
        <v>42</v>
      </c>
      <c r="L23" s="50">
        <v>25</v>
      </c>
      <c r="M23" s="52" t="s">
        <v>57</v>
      </c>
      <c r="N23" s="53"/>
      <c r="O23" s="165">
        <f t="shared" si="1"/>
      </c>
      <c r="R23" s="1">
        <f>COUNTIF('一覧表'!$U$13:$U$62,"男走幅跳")</f>
        <v>0</v>
      </c>
      <c r="S23" s="1">
        <f>COUNTIF('一覧表'!$V$13:$V$62,"男走幅跳")</f>
        <v>0</v>
      </c>
      <c r="T23" s="55">
        <f t="shared" si="2"/>
        <v>0</v>
      </c>
      <c r="U23" s="1">
        <f>COUNTIF('一覧表'!$U$13:$U$62,"女砲丸投")</f>
        <v>0</v>
      </c>
      <c r="V23" s="1">
        <f>COUNTIF('一覧表'!$V$13:$V$62,"女砲丸投")</f>
        <v>0</v>
      </c>
      <c r="W23" s="55">
        <f t="shared" si="3"/>
        <v>0</v>
      </c>
      <c r="X23" s="1" t="s">
        <v>89</v>
      </c>
      <c r="Y23" s="1" t="s">
        <v>90</v>
      </c>
    </row>
    <row r="24" spans="1:25" s="55" customFormat="1" ht="14.25">
      <c r="A24" s="49">
        <v>17</v>
      </c>
      <c r="B24" s="50">
        <v>12</v>
      </c>
      <c r="C24" s="51" t="e">
        <f>VLOOKUP(B24,#REF!,2,TRUE)</f>
        <v>#REF!</v>
      </c>
      <c r="D24" s="50">
        <v>24</v>
      </c>
      <c r="E24" s="52" t="s">
        <v>56</v>
      </c>
      <c r="F24" s="53" t="s">
        <v>120</v>
      </c>
      <c r="G24" s="165">
        <f t="shared" si="0"/>
      </c>
      <c r="H24" s="54"/>
      <c r="I24" s="49">
        <v>17</v>
      </c>
      <c r="J24" s="56">
        <v>11</v>
      </c>
      <c r="K24" s="51" t="s">
        <v>42</v>
      </c>
      <c r="L24" s="50">
        <v>26</v>
      </c>
      <c r="M24" s="52" t="s">
        <v>58</v>
      </c>
      <c r="N24" s="53"/>
      <c r="O24" s="165">
        <f t="shared" si="1"/>
      </c>
      <c r="R24" s="1">
        <f>COUNTIF('一覧表'!$U$13:$U$62,"男三段跳A")</f>
        <v>0</v>
      </c>
      <c r="S24" s="1">
        <f>COUNTIF('一覧表'!$V$13:$V$62,"男三段跳A")</f>
        <v>0</v>
      </c>
      <c r="T24" s="55">
        <f t="shared" si="2"/>
        <v>0</v>
      </c>
      <c r="U24" s="1">
        <f>COUNTIF('一覧表'!$U$13:$U$62,"女円盤投")</f>
        <v>0</v>
      </c>
      <c r="V24" s="1">
        <f>COUNTIF('一覧表'!$V$13:$V$62,"女円盤投")</f>
        <v>0</v>
      </c>
      <c r="W24" s="55">
        <f t="shared" si="3"/>
        <v>0</v>
      </c>
      <c r="X24" s="1" t="s">
        <v>113</v>
      </c>
      <c r="Y24" s="1" t="s">
        <v>91</v>
      </c>
    </row>
    <row r="25" spans="1:25" s="55" customFormat="1" ht="14.25">
      <c r="A25" s="49">
        <v>18</v>
      </c>
      <c r="B25" s="50"/>
      <c r="C25" s="51"/>
      <c r="D25" s="50"/>
      <c r="E25" s="52" t="s">
        <v>56</v>
      </c>
      <c r="F25" s="53" t="s">
        <v>121</v>
      </c>
      <c r="G25" s="165">
        <f t="shared" si="0"/>
      </c>
      <c r="H25" s="54"/>
      <c r="I25" s="49">
        <v>18</v>
      </c>
      <c r="J25" s="50">
        <v>11</v>
      </c>
      <c r="K25" s="51" t="s">
        <v>42</v>
      </c>
      <c r="L25" s="50">
        <v>27</v>
      </c>
      <c r="M25" s="52" t="s">
        <v>60</v>
      </c>
      <c r="N25" s="53"/>
      <c r="O25" s="165">
        <f t="shared" si="1"/>
      </c>
      <c r="R25" s="1">
        <f>COUNTIF('一覧表'!$U$13:$U$62,"男三段跳B")</f>
        <v>0</v>
      </c>
      <c r="S25" s="1">
        <f>COUNTIF('一覧表'!$V$13:$V$62,"男三段跳B")</f>
        <v>0</v>
      </c>
      <c r="T25" s="55">
        <f t="shared" si="2"/>
        <v>0</v>
      </c>
      <c r="U25" s="1">
        <f>COUNTIF('一覧表'!$U$13:$U$62,"女ﾊﾝﾏｰ投")</f>
        <v>0</v>
      </c>
      <c r="V25" s="1">
        <f>COUNTIF('一覧表'!$V$13:$V$62,"女ﾊﾝﾏｰ投")</f>
        <v>0</v>
      </c>
      <c r="W25" s="55">
        <f t="shared" si="3"/>
        <v>0</v>
      </c>
      <c r="X25" s="1" t="s">
        <v>114</v>
      </c>
      <c r="Y25" s="1" t="s">
        <v>93</v>
      </c>
    </row>
    <row r="26" spans="1:25" s="55" customFormat="1" ht="15" thickBot="1">
      <c r="A26" s="49">
        <v>19</v>
      </c>
      <c r="B26" s="50">
        <v>12</v>
      </c>
      <c r="C26" s="51" t="e">
        <f>VLOOKUP(B26,#REF!,2,TRUE)</f>
        <v>#REF!</v>
      </c>
      <c r="D26" s="50">
        <v>25</v>
      </c>
      <c r="E26" s="52" t="s">
        <v>129</v>
      </c>
      <c r="F26" s="53"/>
      <c r="G26" s="165">
        <f t="shared" si="0"/>
      </c>
      <c r="H26" s="54"/>
      <c r="I26" s="49">
        <v>19</v>
      </c>
      <c r="J26" s="57">
        <v>11</v>
      </c>
      <c r="K26" s="58" t="s">
        <v>42</v>
      </c>
      <c r="L26" s="57">
        <v>28</v>
      </c>
      <c r="M26" s="59" t="s">
        <v>62</v>
      </c>
      <c r="N26" s="60"/>
      <c r="O26" s="166">
        <f t="shared" si="1"/>
      </c>
      <c r="R26" s="1">
        <f>COUNTIF('一覧表'!$U$13:$U$62,"男砲丸投")</f>
        <v>0</v>
      </c>
      <c r="S26" s="1">
        <f>COUNTIF('一覧表'!$V$13:$V$62,"男砲丸投")</f>
        <v>0</v>
      </c>
      <c r="T26" s="55">
        <f t="shared" si="2"/>
        <v>0</v>
      </c>
      <c r="U26" s="1">
        <f>COUNTIF('一覧表'!$U$13:$U$62,"女やり投")</f>
        <v>0</v>
      </c>
      <c r="V26" s="1">
        <f>COUNTIF('一覧表'!$V$13:$V$62,"女やり投")</f>
        <v>0</v>
      </c>
      <c r="W26" s="55">
        <f t="shared" si="3"/>
        <v>0</v>
      </c>
      <c r="X26" s="1" t="s">
        <v>90</v>
      </c>
      <c r="Y26" s="1" t="s">
        <v>94</v>
      </c>
    </row>
    <row r="27" spans="1:25" s="55" customFormat="1" ht="15" thickBot="1">
      <c r="A27" s="49">
        <v>20</v>
      </c>
      <c r="B27" s="50"/>
      <c r="C27" s="51"/>
      <c r="D27" s="50"/>
      <c r="E27" s="52" t="s">
        <v>59</v>
      </c>
      <c r="F27" s="53"/>
      <c r="G27" s="165">
        <f t="shared" si="0"/>
      </c>
      <c r="H27" s="54"/>
      <c r="I27" s="61"/>
      <c r="J27" s="62"/>
      <c r="K27" s="63"/>
      <c r="L27" s="64"/>
      <c r="M27" s="65" t="s">
        <v>64</v>
      </c>
      <c r="N27" s="66"/>
      <c r="O27" s="168">
        <f>SUM(O8:O26)</f>
        <v>0</v>
      </c>
      <c r="R27" s="1">
        <f>COUNTIF('一覧表'!$U$13:$U$62,"男高校砲丸投")</f>
        <v>0</v>
      </c>
      <c r="S27" s="1">
        <f>COUNTIF('一覧表'!$V$13:$V$62,"男高校砲丸投")</f>
        <v>0</v>
      </c>
      <c r="T27" s="55">
        <f t="shared" si="2"/>
        <v>0</v>
      </c>
      <c r="X27" s="1" t="s">
        <v>92</v>
      </c>
      <c r="Y27" s="1"/>
    </row>
    <row r="28" spans="1:25" s="55" customFormat="1" ht="14.25">
      <c r="A28" s="49">
        <v>21</v>
      </c>
      <c r="B28" s="50"/>
      <c r="C28" s="51"/>
      <c r="D28" s="50"/>
      <c r="E28" s="52" t="s">
        <v>130</v>
      </c>
      <c r="F28" s="53"/>
      <c r="G28" s="165">
        <f t="shared" si="0"/>
      </c>
      <c r="H28" s="54"/>
      <c r="I28" s="49">
        <v>1</v>
      </c>
      <c r="J28" s="50">
        <v>11</v>
      </c>
      <c r="K28" s="51" t="s">
        <v>42</v>
      </c>
      <c r="L28" s="50">
        <v>10</v>
      </c>
      <c r="M28" s="52" t="s">
        <v>66</v>
      </c>
      <c r="N28" s="53"/>
      <c r="O28" s="165">
        <f>IF('一覧表'!Y63=0,"",1)</f>
      </c>
      <c r="R28" s="1">
        <f>COUNTIF('一覧表'!$U$13:$U$62,"男少B砲丸投")</f>
        <v>0</v>
      </c>
      <c r="S28" s="1">
        <f>COUNTIF('一覧表'!$V$13:$V$62,"男少B砲丸投")</f>
        <v>0</v>
      </c>
      <c r="T28" s="55">
        <f t="shared" si="2"/>
        <v>0</v>
      </c>
      <c r="X28" s="1" t="s">
        <v>115</v>
      </c>
      <c r="Y28" s="1"/>
    </row>
    <row r="29" spans="1:25" s="55" customFormat="1" ht="15" thickBot="1">
      <c r="A29" s="49">
        <v>22</v>
      </c>
      <c r="B29" s="50">
        <v>12</v>
      </c>
      <c r="C29" s="51" t="e">
        <f>VLOOKUP(B29,B$38:C$41,2,TRUE)</f>
        <v>#N/A</v>
      </c>
      <c r="D29" s="50">
        <v>26</v>
      </c>
      <c r="E29" s="52" t="s">
        <v>61</v>
      </c>
      <c r="F29" s="53"/>
      <c r="G29" s="165">
        <f t="shared" si="0"/>
      </c>
      <c r="H29" s="54"/>
      <c r="I29" s="49">
        <v>2</v>
      </c>
      <c r="J29" s="50">
        <v>11</v>
      </c>
      <c r="K29" s="51" t="s">
        <v>42</v>
      </c>
      <c r="L29" s="50">
        <v>15</v>
      </c>
      <c r="M29" s="52" t="s">
        <v>68</v>
      </c>
      <c r="N29" s="53"/>
      <c r="O29" s="165">
        <f>IF('一覧表'!Z63=0,"",1)</f>
      </c>
      <c r="R29" s="1">
        <f>COUNTIF('一覧表'!$U$13:$U$62,"男円盤投")</f>
        <v>0</v>
      </c>
      <c r="S29" s="1">
        <f>COUNTIF('一覧表'!$V$13:$V$62,"男円盤投")</f>
        <v>0</v>
      </c>
      <c r="T29" s="55">
        <f t="shared" si="2"/>
        <v>0</v>
      </c>
      <c r="X29" s="1" t="s">
        <v>91</v>
      </c>
      <c r="Y29" s="1"/>
    </row>
    <row r="30" spans="1:25" s="55" customFormat="1" ht="15" thickBot="1">
      <c r="A30" s="49">
        <v>23</v>
      </c>
      <c r="B30" s="50"/>
      <c r="C30" s="51"/>
      <c r="D30" s="50"/>
      <c r="E30" s="52" t="s">
        <v>63</v>
      </c>
      <c r="F30" s="53"/>
      <c r="G30" s="165">
        <f t="shared" si="0"/>
      </c>
      <c r="H30" s="54"/>
      <c r="I30" s="61"/>
      <c r="J30" s="62"/>
      <c r="K30" s="63"/>
      <c r="L30" s="64"/>
      <c r="M30" s="67" t="s">
        <v>69</v>
      </c>
      <c r="N30" s="66"/>
      <c r="O30" s="168">
        <f>SUM(O28:O29)</f>
        <v>0</v>
      </c>
      <c r="R30" s="1">
        <f>COUNTIF('一覧表'!$U$13:$U$62,"男高校円盤投")</f>
        <v>0</v>
      </c>
      <c r="S30" s="1">
        <f>COUNTIF('一覧表'!$V$13:$V$62,"男高校円盤投")</f>
        <v>0</v>
      </c>
      <c r="T30" s="55">
        <f t="shared" si="2"/>
        <v>0</v>
      </c>
      <c r="X30" s="1" t="s">
        <v>95</v>
      </c>
      <c r="Y30" s="1"/>
    </row>
    <row r="31" spans="1:25" s="55" customFormat="1" ht="14.25" customHeight="1">
      <c r="A31" s="49">
        <v>24</v>
      </c>
      <c r="B31" s="50">
        <v>12</v>
      </c>
      <c r="C31" s="51" t="e">
        <f>VLOOKUP(B31,B$38:C$41,2,TRUE)</f>
        <v>#N/A</v>
      </c>
      <c r="D31" s="50">
        <v>27</v>
      </c>
      <c r="E31" s="52" t="s">
        <v>65</v>
      </c>
      <c r="F31" s="53"/>
      <c r="G31" s="165">
        <f t="shared" si="0"/>
      </c>
      <c r="H31" s="54"/>
      <c r="I31" s="85"/>
      <c r="J31" s="85"/>
      <c r="K31" s="85"/>
      <c r="L31" s="109"/>
      <c r="M31" s="110"/>
      <c r="N31" s="111"/>
      <c r="O31" s="109"/>
      <c r="R31" s="1">
        <f>COUNTIF('一覧表'!$U$13:$U$62,"男ﾊﾝﾏｰ投")</f>
        <v>0</v>
      </c>
      <c r="S31" s="1">
        <f>COUNTIF('一覧表'!$V$13:$V$62,"男ﾊﾝﾏｰ投")</f>
        <v>0</v>
      </c>
      <c r="T31" s="55">
        <f t="shared" si="2"/>
        <v>0</v>
      </c>
      <c r="X31" s="1" t="s">
        <v>93</v>
      </c>
      <c r="Y31" s="1"/>
    </row>
    <row r="32" spans="1:25" s="55" customFormat="1" ht="14.25" customHeight="1">
      <c r="A32" s="49">
        <v>25</v>
      </c>
      <c r="B32" s="57"/>
      <c r="C32" s="58"/>
      <c r="D32" s="57"/>
      <c r="E32" s="59" t="s">
        <v>67</v>
      </c>
      <c r="F32" s="60"/>
      <c r="G32" s="166">
        <f t="shared" si="0"/>
      </c>
      <c r="H32" s="54"/>
      <c r="R32" s="1">
        <f>COUNTIF('一覧表'!$U$13:$U$62,"男高校ﾊﾝﾏｰ投")</f>
        <v>0</v>
      </c>
      <c r="S32" s="1">
        <f>COUNTIF('一覧表'!$V$13:$V$62,"男高校ﾊﾝﾏｰ投")</f>
        <v>0</v>
      </c>
      <c r="T32" s="55">
        <f t="shared" si="2"/>
        <v>0</v>
      </c>
      <c r="X32" s="1" t="s">
        <v>96</v>
      </c>
      <c r="Y32" s="1"/>
    </row>
    <row r="33" spans="1:25" s="55" customFormat="1" ht="14.25" customHeight="1" thickBot="1">
      <c r="A33" s="49">
        <v>26</v>
      </c>
      <c r="B33" s="57">
        <v>12</v>
      </c>
      <c r="C33" s="58" t="e">
        <f>VLOOKUP(B33,#REF!,2,TRUE)</f>
        <v>#REF!</v>
      </c>
      <c r="D33" s="57">
        <v>28</v>
      </c>
      <c r="E33" s="59" t="s">
        <v>62</v>
      </c>
      <c r="F33" s="60"/>
      <c r="G33" s="166">
        <f t="shared" si="0"/>
      </c>
      <c r="H33" s="54"/>
      <c r="I33" s="71"/>
      <c r="J33" s="72"/>
      <c r="K33" s="72"/>
      <c r="L33" s="73"/>
      <c r="M33" s="74"/>
      <c r="N33" s="73"/>
      <c r="O33" s="73"/>
      <c r="R33" s="1">
        <f>COUNTIF('一覧表'!$U$13:$U$62,"男やり投")</f>
        <v>0</v>
      </c>
      <c r="S33" s="1">
        <f>COUNTIF('一覧表'!$V$13:$V$62,"男やり投")</f>
        <v>0</v>
      </c>
      <c r="T33" s="55">
        <f t="shared" si="2"/>
        <v>0</v>
      </c>
      <c r="X33" s="1" t="s">
        <v>94</v>
      </c>
      <c r="Y33" s="1"/>
    </row>
    <row r="34" spans="1:25" s="55" customFormat="1" ht="14.25" customHeight="1" thickBot="1">
      <c r="A34" s="61"/>
      <c r="B34" s="68"/>
      <c r="C34" s="68"/>
      <c r="D34" s="68"/>
      <c r="E34" s="69" t="s">
        <v>64</v>
      </c>
      <c r="F34" s="70"/>
      <c r="G34" s="167">
        <f>SUM(G8:G33)</f>
        <v>0</v>
      </c>
      <c r="H34" s="85"/>
      <c r="I34" s="75"/>
      <c r="J34" s="76"/>
      <c r="K34" s="76"/>
      <c r="L34" s="37"/>
      <c r="M34" s="236" t="s">
        <v>142</v>
      </c>
      <c r="N34" s="237"/>
      <c r="O34" s="237"/>
      <c r="X34" s="1"/>
      <c r="Y34" s="1"/>
    </row>
    <row r="35" spans="1:15" s="55" customFormat="1" ht="14.25" customHeight="1">
      <c r="A35" s="49">
        <v>1</v>
      </c>
      <c r="B35" s="50">
        <v>12</v>
      </c>
      <c r="C35" s="51" t="e">
        <f>VLOOKUP(B35,B$41:C$41,2,TRUE)</f>
        <v>#N/A</v>
      </c>
      <c r="D35" s="50">
        <v>10</v>
      </c>
      <c r="E35" s="52" t="s">
        <v>66</v>
      </c>
      <c r="F35" s="53"/>
      <c r="G35" s="165">
        <f>IF('一覧表'!W63=0,"",1)</f>
      </c>
      <c r="H35" s="54"/>
      <c r="I35" s="75"/>
      <c r="J35" s="76"/>
      <c r="K35" s="76"/>
      <c r="L35" s="37"/>
      <c r="M35" s="237"/>
      <c r="N35" s="237"/>
      <c r="O35" s="237"/>
    </row>
    <row r="36" spans="1:15" s="55" customFormat="1" ht="14.25" customHeight="1" thickBot="1">
      <c r="A36" s="49">
        <v>2</v>
      </c>
      <c r="B36" s="50">
        <v>12</v>
      </c>
      <c r="C36" s="51" t="e">
        <f>VLOOKUP(B36,#REF!,2,TRUE)</f>
        <v>#REF!</v>
      </c>
      <c r="D36" s="50">
        <v>15</v>
      </c>
      <c r="E36" s="52" t="s">
        <v>68</v>
      </c>
      <c r="F36" s="53"/>
      <c r="G36" s="165">
        <f>IF('一覧表'!X63=0,"",1)</f>
      </c>
      <c r="H36" s="54"/>
      <c r="I36" s="75"/>
      <c r="J36" s="76"/>
      <c r="K36" s="76"/>
      <c r="L36" s="37"/>
      <c r="M36" s="237"/>
      <c r="N36" s="237"/>
      <c r="O36" s="237"/>
    </row>
    <row r="37" spans="1:15" s="55" customFormat="1" ht="14.25" customHeight="1" thickBot="1">
      <c r="A37" s="61"/>
      <c r="B37" s="68"/>
      <c r="C37" s="68"/>
      <c r="D37" s="68"/>
      <c r="E37" s="67" t="s">
        <v>69</v>
      </c>
      <c r="F37" s="70"/>
      <c r="G37" s="167">
        <f>SUM(G35:G36)</f>
        <v>0</v>
      </c>
      <c r="H37" s="85"/>
      <c r="I37" s="83"/>
      <c r="J37" s="84"/>
      <c r="K37" s="84"/>
      <c r="L37" s="37"/>
      <c r="M37" s="237"/>
      <c r="N37" s="237"/>
      <c r="O37" s="237"/>
    </row>
    <row r="38" spans="1:19" s="18" customFormat="1" ht="14.25" customHeight="1">
      <c r="A38" s="77"/>
      <c r="B38" s="78"/>
      <c r="C38" s="79"/>
      <c r="D38" s="78"/>
      <c r="E38" s="80"/>
      <c r="F38" s="81"/>
      <c r="G38" s="76"/>
      <c r="H38" s="91"/>
      <c r="I38" s="83"/>
      <c r="J38" s="84"/>
      <c r="K38" s="84"/>
      <c r="L38" s="37"/>
      <c r="M38" s="237"/>
      <c r="N38" s="237"/>
      <c r="O38" s="237"/>
      <c r="P38" s="55"/>
      <c r="R38" s="55"/>
      <c r="S38" s="55"/>
    </row>
    <row r="39" spans="1:19" ht="14.25" customHeight="1">
      <c r="A39" s="77"/>
      <c r="B39" s="78"/>
      <c r="C39" s="79"/>
      <c r="D39" s="78"/>
      <c r="E39" s="80"/>
      <c r="F39" s="81"/>
      <c r="G39" s="76"/>
      <c r="H39" s="76"/>
      <c r="I39" s="83"/>
      <c r="J39" s="84"/>
      <c r="K39" s="84"/>
      <c r="L39" s="37"/>
      <c r="M39" s="82"/>
      <c r="N39" s="37"/>
      <c r="O39" s="37"/>
      <c r="P39" s="92"/>
      <c r="R39" s="18"/>
      <c r="S39" s="18"/>
    </row>
    <row r="40" spans="1:15" ht="14.25" customHeight="1">
      <c r="A40" s="77"/>
      <c r="B40" s="78"/>
      <c r="C40" s="79"/>
      <c r="D40" s="78"/>
      <c r="E40" s="80"/>
      <c r="F40" s="81"/>
      <c r="G40" s="76"/>
      <c r="H40" s="76"/>
      <c r="I40" s="83"/>
      <c r="J40" s="84"/>
      <c r="K40" s="84"/>
      <c r="L40" s="37"/>
      <c r="M40" s="82"/>
      <c r="N40" s="37"/>
      <c r="O40" s="37"/>
    </row>
    <row r="41" spans="1:15" ht="14.25" customHeight="1">
      <c r="A41" s="86"/>
      <c r="B41" s="87"/>
      <c r="C41" s="88"/>
      <c r="D41" s="87"/>
      <c r="E41" s="89"/>
      <c r="F41" s="90"/>
      <c r="G41" s="84"/>
      <c r="H41" s="76"/>
      <c r="I41" s="83"/>
      <c r="J41" s="84"/>
      <c r="K41" s="84"/>
      <c r="L41" s="37"/>
      <c r="M41" s="82"/>
      <c r="N41" s="37"/>
      <c r="O41" s="37"/>
    </row>
    <row r="42" spans="1:6" ht="14.25">
      <c r="A42" s="1"/>
      <c r="C42" s="1"/>
      <c r="E42" s="1"/>
      <c r="F42" s="1"/>
    </row>
  </sheetData>
  <sheetProtection password="CD83" sheet="1" objects="1" scenarios="1"/>
  <mergeCells count="7">
    <mergeCell ref="M34:O38"/>
    <mergeCell ref="H4:O4"/>
    <mergeCell ref="A1:O1"/>
    <mergeCell ref="A2:O2"/>
    <mergeCell ref="H5:O5"/>
    <mergeCell ref="E6:G6"/>
    <mergeCell ref="M6:O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 masahiro</dc:creator>
  <cp:keywords/>
  <dc:description/>
  <cp:lastModifiedBy>旭丘</cp:lastModifiedBy>
  <cp:lastPrinted>2012-02-19T11:15:24Z</cp:lastPrinted>
  <dcterms:created xsi:type="dcterms:W3CDTF">2012-01-31T00:06:14Z</dcterms:created>
  <dcterms:modified xsi:type="dcterms:W3CDTF">2012-02-20T00:25:39Z</dcterms:modified>
  <cp:category/>
  <cp:version/>
  <cp:contentType/>
  <cp:contentStatus/>
</cp:coreProperties>
</file>