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85" windowWidth="19320" windowHeight="12225" tabRatio="500" activeTab="0"/>
  </bookViews>
  <sheets>
    <sheet name="一覧表" sheetId="1" r:id="rId1"/>
    <sheet name="人数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'一覧表'!$A$1:$L$44</definedName>
    <definedName name="_xlnm.Print_Area" localSheetId="1">'人数'!$A$1:$O$49</definedName>
    <definedName name="リレー">'一覧表'!$P$13</definedName>
    <definedName name="女子種目">'一覧表'!$S$13:$S$31</definedName>
    <definedName name="性別">'一覧表'!$Q$13:$Q$14</definedName>
    <definedName name="男子種目">'一覧表'!$R$13:$R$38</definedName>
  </definedNames>
  <calcPr fullCalcOnLoad="1"/>
</workbook>
</file>

<file path=xl/sharedStrings.xml><?xml version="1.0" encoding="utf-8"?>
<sst xmlns="http://schemas.openxmlformats.org/spreadsheetml/2006/main" count="267" uniqueCount="143">
  <si>
    <t>Ａ４用紙(コピーも同じサイズで）</t>
  </si>
  <si>
    <t>ﾌ    ﾘ    ｶﾞ   ﾅ</t>
  </si>
  <si>
    <t>加入団体(学校)名</t>
  </si>
  <si>
    <t>申込責任者 氏 名</t>
  </si>
  <si>
    <t>連　絡  先</t>
  </si>
  <si>
    <t>メールアドレス</t>
  </si>
  <si>
    <t>男子ﾘﾚｰ記録</t>
  </si>
  <si>
    <t>(夜間あるいは携帯)</t>
  </si>
  <si>
    <t>女子ﾘﾚｰ記録</t>
  </si>
  <si>
    <r>
      <t>新</t>
    </r>
    <r>
      <rPr>
        <sz val="6"/>
        <rFont val="ＭＳ 明朝"/>
        <family val="1"/>
      </rPr>
      <t xml:space="preserve">       ナンバー</t>
    </r>
  </si>
  <si>
    <t>氏　　名</t>
  </si>
  <si>
    <t>性別</t>
  </si>
  <si>
    <t>学年</t>
  </si>
  <si>
    <t>4×100</t>
  </si>
  <si>
    <t>4×400</t>
  </si>
  <si>
    <t>種目</t>
  </si>
  <si>
    <t>記録</t>
  </si>
  <si>
    <t>種目</t>
  </si>
  <si>
    <t>参加者</t>
  </si>
  <si>
    <t>例</t>
  </si>
  <si>
    <t>愛知　太郎</t>
  </si>
  <si>
    <t>男</t>
  </si>
  <si>
    <t>やり投</t>
  </si>
  <si>
    <t>参加料</t>
  </si>
  <si>
    <t>個人種目</t>
  </si>
  <si>
    <t>円</t>
  </si>
  <si>
    <t>リ　レ　ー</t>
  </si>
  <si>
    <t>円</t>
  </si>
  <si>
    <t>プログラム</t>
  </si>
  <si>
    <t>※記録も記入</t>
  </si>
  <si>
    <t>合計金額(振込金額)</t>
  </si>
  <si>
    <t>※男子の次に女子を一行開けて記入</t>
  </si>
  <si>
    <t>種 目 別 申 込 人 数 一 覧 表</t>
  </si>
  <si>
    <t>A4サイズ</t>
  </si>
  <si>
    <t>団体名</t>
  </si>
  <si>
    <t>申込一覧表と、この種目別申込人数一覧表で　　　　　　　　申込みください。個人申込票は必要ありません。</t>
  </si>
  <si>
    <t>男　　　子</t>
  </si>
  <si>
    <t>女　　　　　子</t>
  </si>
  <si>
    <t>種　　　目</t>
  </si>
  <si>
    <t>種　　　目</t>
  </si>
  <si>
    <t>申込人数</t>
  </si>
  <si>
    <t>１００ｍ</t>
  </si>
  <si>
    <t>女</t>
  </si>
  <si>
    <t>２００ｍ</t>
  </si>
  <si>
    <t>４００ｍ</t>
  </si>
  <si>
    <t>８００ｍ</t>
  </si>
  <si>
    <t>１５００ｍ</t>
  </si>
  <si>
    <t>５０００ｍ</t>
  </si>
  <si>
    <t>３０００ｍ</t>
  </si>
  <si>
    <t>１１０ｍ</t>
  </si>
  <si>
    <t>Ｈ</t>
  </si>
  <si>
    <t>SC</t>
  </si>
  <si>
    <t>Ｗ</t>
  </si>
  <si>
    <t>Ｗ</t>
  </si>
  <si>
    <t>走　高　跳</t>
  </si>
  <si>
    <t>走　幅　跳</t>
  </si>
  <si>
    <t>三　段　跳</t>
  </si>
  <si>
    <t>砲　丸　投</t>
  </si>
  <si>
    <t>円　盤　投</t>
  </si>
  <si>
    <t>高校砲丸投(6.000kg)</t>
  </si>
  <si>
    <t>ハンマー投</t>
  </si>
  <si>
    <t>円　盤　投
(2.000kg)</t>
  </si>
  <si>
    <t>や　り　投</t>
  </si>
  <si>
    <t>高校円盤投
(1.750kg)</t>
  </si>
  <si>
    <t>合計申込人数</t>
  </si>
  <si>
    <t>ハンマー投
(7.260kg)</t>
  </si>
  <si>
    <t>４×１００ｍ</t>
  </si>
  <si>
    <t>高校ハンマー投
(6.000kg)</t>
  </si>
  <si>
    <t>４×４００ｍ</t>
  </si>
  <si>
    <t>合計申込チーム数</t>
  </si>
  <si>
    <t>リレー</t>
  </si>
  <si>
    <t>性別</t>
  </si>
  <si>
    <t>男子種目</t>
  </si>
  <si>
    <t>女子種目</t>
  </si>
  <si>
    <t>○</t>
  </si>
  <si>
    <t>男</t>
  </si>
  <si>
    <t>100m</t>
  </si>
  <si>
    <t>女</t>
  </si>
  <si>
    <t>200m</t>
  </si>
  <si>
    <t>400m</t>
  </si>
  <si>
    <t>800m</t>
  </si>
  <si>
    <t>1500m</t>
  </si>
  <si>
    <t>5000m</t>
  </si>
  <si>
    <t>3000m</t>
  </si>
  <si>
    <t>110mH</t>
  </si>
  <si>
    <t>100mH</t>
  </si>
  <si>
    <t>400mH</t>
  </si>
  <si>
    <t>3000mSC</t>
  </si>
  <si>
    <t>5000mW</t>
  </si>
  <si>
    <t>走幅跳</t>
  </si>
  <si>
    <t>砲丸投</t>
  </si>
  <si>
    <t>円盤投</t>
  </si>
  <si>
    <t>高校砲丸投</t>
  </si>
  <si>
    <t>ﾊﾝﾏｰ投</t>
  </si>
  <si>
    <t>やり投</t>
  </si>
  <si>
    <t>高校円盤投</t>
  </si>
  <si>
    <t>高校ﾊﾝﾏｰ投</t>
  </si>
  <si>
    <t>印</t>
  </si>
  <si>
    <t>(電 話 番 号)</t>
  </si>
  <si>
    <t>TEL</t>
  </si>
  <si>
    <t xml:space="preserve"> ﾌ ﾘ ｶﾞﾅ</t>
  </si>
  <si>
    <t>ｱｲﾁ ﾀﾛｳ</t>
  </si>
  <si>
    <t>○</t>
  </si>
  <si>
    <t>円</t>
  </si>
  <si>
    <t>×</t>
  </si>
  <si>
    <t>種目</t>
  </si>
  <si>
    <t>１部 1000</t>
  </si>
  <si>
    <t>部</t>
  </si>
  <si>
    <t>少110mYH</t>
  </si>
  <si>
    <t>走高跳A</t>
  </si>
  <si>
    <t>走高跳B</t>
  </si>
  <si>
    <t>棒高跳A</t>
  </si>
  <si>
    <t>棒高跳B</t>
  </si>
  <si>
    <t>三段跳A</t>
  </si>
  <si>
    <t>三段跳B</t>
  </si>
  <si>
    <t>少B砲丸投</t>
  </si>
  <si>
    <t>少B100mYH</t>
  </si>
  <si>
    <t>国体選考･強化普及競技会申込一覧表</t>
  </si>
  <si>
    <t>YH</t>
  </si>
  <si>
    <t>Ａ</t>
  </si>
  <si>
    <t>Ｂ</t>
  </si>
  <si>
    <t>棒　高　跳</t>
  </si>
  <si>
    <t>少年Ｂ１００ｍ</t>
  </si>
  <si>
    <t>少年１１０ｍ</t>
  </si>
  <si>
    <t>1列</t>
  </si>
  <si>
    <t>2列</t>
  </si>
  <si>
    <t>計</t>
  </si>
  <si>
    <t>5000mW</t>
  </si>
  <si>
    <t>砲　丸　投(7.260kg)</t>
  </si>
  <si>
    <t>少年B砲丸投(5.000kg)</t>
  </si>
  <si>
    <t>400mH</t>
  </si>
  <si>
    <t>5000mW</t>
  </si>
  <si>
    <t>棒高跳</t>
  </si>
  <si>
    <t>M400R</t>
  </si>
  <si>
    <t>M16R</t>
  </si>
  <si>
    <t>F4R</t>
  </si>
  <si>
    <t>F16R</t>
  </si>
  <si>
    <t>ｍ４ｒ</t>
  </si>
  <si>
    <t>ｍ１６ｒ</t>
  </si>
  <si>
    <t>ｆ４ｒ</t>
  </si>
  <si>
    <t>ｆ１６ｒ</t>
  </si>
  <si>
    <t>参加料等払込受領証
　　コピー貼付欄</t>
  </si>
  <si>
    <t>国体選考･強化普及競技会申込一覧表　25人用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</si>
</sst>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20"/>
      <name val="ＤＨＰ平成明朝体W7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i/>
      <sz val="9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1"/>
      <name val="ＭＳ ゴシック"/>
      <family val="3"/>
    </font>
    <font>
      <b/>
      <sz val="14"/>
      <name val="ＭＳ 明朝"/>
      <family val="1"/>
    </font>
    <font>
      <sz val="22"/>
      <name val="ＤＨＰ平成明朝体W7"/>
      <family val="0"/>
    </font>
    <font>
      <sz val="24"/>
      <name val="ＤＨＰ平成明朝体W7"/>
      <family val="0"/>
    </font>
    <font>
      <sz val="11"/>
      <name val="ＤＨＰ平成明朝体W7"/>
      <family val="0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ＤＦ平成明朝体W7"/>
      <family val="0"/>
    </font>
    <font>
      <sz val="11"/>
      <name val="ＭＳ Ｐゴシック"/>
      <family val="0"/>
    </font>
    <font>
      <sz val="16"/>
      <name val="ＭＳ Ｐゴシック"/>
      <family val="3"/>
    </font>
    <font>
      <i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hair"/>
      <top/>
      <bottom style="hair"/>
    </border>
    <border>
      <left/>
      <right style="medium"/>
      <top/>
      <bottom style="hair"/>
    </border>
    <border>
      <left style="thin"/>
      <right style="hair"/>
      <top style="hair"/>
      <bottom style="medium"/>
    </border>
    <border>
      <left/>
      <right style="medium"/>
      <top style="hair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 style="thin"/>
    </border>
    <border>
      <left/>
      <right/>
      <top/>
      <bottom style="hair"/>
    </border>
    <border>
      <left/>
      <right/>
      <top style="medium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hair"/>
      <right/>
      <top style="medium"/>
      <bottom style="hair"/>
    </border>
    <border>
      <left style="hair"/>
      <right/>
      <top style="medium"/>
      <bottom style="medium"/>
    </border>
    <border>
      <left style="hair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hair"/>
      <right style="thin"/>
      <top style="thin"/>
      <bottom/>
    </border>
    <border>
      <left style="hair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medium"/>
      <bottom style="thin"/>
    </border>
    <border>
      <left style="hair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hair"/>
      <right/>
      <top/>
      <bottom style="thin"/>
    </border>
    <border>
      <left/>
      <right style="hair"/>
      <top style="medium"/>
      <bottom style="hair"/>
    </border>
    <border>
      <left/>
      <right style="hair"/>
      <top style="hair"/>
      <bottom style="medium"/>
    </border>
    <border>
      <left/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hair"/>
    </border>
    <border>
      <left/>
      <right style="thin"/>
      <top/>
      <bottom style="hair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42" fillId="20" borderId="1" applyNumberFormat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1" fillId="0" borderId="3" applyNumberFormat="0" applyFill="0" applyAlignment="0" applyProtection="0"/>
    <xf numFmtId="0" fontId="36" fillId="3" borderId="0" applyNumberFormat="0" applyBorder="0" applyAlignment="0" applyProtection="0"/>
    <xf numFmtId="0" fontId="40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39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35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 quotePrefix="1">
      <alignment horizontal="center" vertical="center"/>
    </xf>
    <xf numFmtId="0" fontId="14" fillId="0" borderId="16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20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 shrinkToFit="1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right" vertical="center" shrinkToFit="1"/>
    </xf>
    <xf numFmtId="0" fontId="27" fillId="0" borderId="3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right" vertical="center" shrinkToFit="1"/>
    </xf>
    <xf numFmtId="0" fontId="27" fillId="0" borderId="34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left" vertical="center"/>
    </xf>
    <xf numFmtId="0" fontId="27" fillId="0" borderId="39" xfId="0" applyFont="1" applyBorder="1" applyAlignment="1">
      <alignment horizontal="distributed" vertical="center"/>
    </xf>
    <xf numFmtId="0" fontId="27" fillId="0" borderId="36" xfId="0" applyFont="1" applyBorder="1" applyAlignment="1">
      <alignment horizontal="left" vertical="center"/>
    </xf>
    <xf numFmtId="0" fontId="27" fillId="0" borderId="39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/>
    </xf>
    <xf numFmtId="0" fontId="27" fillId="0" borderId="39" xfId="0" applyFont="1" applyBorder="1" applyAlignment="1">
      <alignment horizontal="distributed" vertical="center" shrinkToFit="1"/>
    </xf>
    <xf numFmtId="0" fontId="27" fillId="0" borderId="36" xfId="0" applyFont="1" applyBorder="1" applyAlignment="1">
      <alignment horizontal="center" vertical="center"/>
    </xf>
    <xf numFmtId="1" fontId="14" fillId="0" borderId="33" xfId="0" applyNumberFormat="1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 horizontal="right" vertical="center"/>
    </xf>
    <xf numFmtId="0" fontId="14" fillId="0" borderId="4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0" fillId="0" borderId="4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shrinkToFit="1"/>
    </xf>
    <xf numFmtId="0" fontId="18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8" xfId="0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shrinkToFit="1"/>
    </xf>
    <xf numFmtId="0" fontId="0" fillId="0" borderId="20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49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17" fillId="0" borderId="32" xfId="0" applyFont="1" applyBorder="1" applyAlignment="1" applyProtection="1">
      <alignment vertical="center"/>
      <protection locked="0"/>
    </xf>
    <xf numFmtId="0" fontId="17" fillId="0" borderId="33" xfId="0" applyFont="1" applyBorder="1" applyAlignment="1" applyProtection="1">
      <alignment vertical="center"/>
      <protection locked="0"/>
    </xf>
    <xf numFmtId="0" fontId="17" fillId="0" borderId="52" xfId="0" applyFont="1" applyBorder="1" applyAlignment="1" applyProtection="1">
      <alignment vertical="center"/>
      <protection locked="0"/>
    </xf>
    <xf numFmtId="0" fontId="17" fillId="0" borderId="53" xfId="0" applyFont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vertical="center"/>
      <protection locked="0"/>
    </xf>
    <xf numFmtId="0" fontId="17" fillId="0" borderId="54" xfId="0" applyFont="1" applyBorder="1" applyAlignment="1" applyProtection="1">
      <alignment vertical="center"/>
      <protection locked="0"/>
    </xf>
    <xf numFmtId="0" fontId="6" fillId="0" borderId="55" xfId="0" applyFont="1" applyBorder="1" applyAlignment="1" applyProtection="1">
      <alignment vertical="center"/>
      <protection locked="0"/>
    </xf>
    <xf numFmtId="0" fontId="6" fillId="0" borderId="56" xfId="0" applyFont="1" applyBorder="1" applyAlignment="1" applyProtection="1">
      <alignment vertical="center"/>
      <protection locked="0"/>
    </xf>
    <xf numFmtId="0" fontId="17" fillId="0" borderId="56" xfId="0" applyFont="1" applyBorder="1" applyAlignment="1" applyProtection="1">
      <alignment vertical="center"/>
      <protection locked="0"/>
    </xf>
    <xf numFmtId="0" fontId="17" fillId="0" borderId="55" xfId="0" applyFont="1" applyBorder="1" applyAlignment="1" applyProtection="1">
      <alignment vertical="center"/>
      <protection locked="0"/>
    </xf>
    <xf numFmtId="0" fontId="17" fillId="0" borderId="57" xfId="0" applyFont="1" applyBorder="1" applyAlignment="1" applyProtection="1">
      <alignment vertical="center"/>
      <protection locked="0"/>
    </xf>
    <xf numFmtId="0" fontId="17" fillId="0" borderId="58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vertical="center"/>
      <protection locked="0"/>
    </xf>
    <xf numFmtId="0" fontId="6" fillId="0" borderId="60" xfId="0" applyFont="1" applyBorder="1" applyAlignment="1" applyProtection="1">
      <alignment vertical="center"/>
      <protection locked="0"/>
    </xf>
    <xf numFmtId="0" fontId="17" fillId="0" borderId="60" xfId="0" applyFont="1" applyBorder="1" applyAlignment="1" applyProtection="1">
      <alignment vertical="center"/>
      <protection locked="0"/>
    </xf>
    <xf numFmtId="0" fontId="17" fillId="0" borderId="59" xfId="0" applyFont="1" applyBorder="1" applyAlignment="1" applyProtection="1">
      <alignment vertical="center"/>
      <protection locked="0"/>
    </xf>
    <xf numFmtId="0" fontId="17" fillId="0" borderId="61" xfId="0" applyFont="1" applyBorder="1" applyAlignment="1" applyProtection="1">
      <alignment vertical="center"/>
      <protection locked="0"/>
    </xf>
    <xf numFmtId="0" fontId="17" fillId="0" borderId="62" xfId="0" applyFont="1" applyBorder="1" applyAlignment="1" applyProtection="1">
      <alignment vertical="center"/>
      <protection locked="0"/>
    </xf>
    <xf numFmtId="0" fontId="17" fillId="0" borderId="19" xfId="0" applyFont="1" applyBorder="1" applyAlignment="1" applyProtection="1">
      <alignment vertical="center"/>
      <protection locked="0"/>
    </xf>
    <xf numFmtId="0" fontId="17" fillId="0" borderId="51" xfId="0" applyFont="1" applyBorder="1" applyAlignment="1" applyProtection="1">
      <alignment vertical="center"/>
      <protection locked="0"/>
    </xf>
    <xf numFmtId="0" fontId="6" fillId="0" borderId="63" xfId="0" applyFont="1" applyBorder="1" applyAlignment="1" applyProtection="1">
      <alignment vertical="center"/>
      <protection locked="0"/>
    </xf>
    <xf numFmtId="0" fontId="6" fillId="0" borderId="64" xfId="0" applyFont="1" applyBorder="1" applyAlignment="1" applyProtection="1">
      <alignment vertical="center"/>
      <protection locked="0"/>
    </xf>
    <xf numFmtId="0" fontId="17" fillId="0" borderId="64" xfId="0" applyFont="1" applyBorder="1" applyAlignment="1" applyProtection="1">
      <alignment vertical="center"/>
      <protection locked="0"/>
    </xf>
    <xf numFmtId="0" fontId="17" fillId="0" borderId="63" xfId="0" applyFont="1" applyBorder="1" applyAlignment="1" applyProtection="1">
      <alignment vertical="center"/>
      <protection locked="0"/>
    </xf>
    <xf numFmtId="0" fontId="17" fillId="0" borderId="65" xfId="0" applyFont="1" applyBorder="1" applyAlignment="1" applyProtection="1">
      <alignment vertical="center"/>
      <protection locked="0"/>
    </xf>
    <xf numFmtId="0" fontId="17" fillId="0" borderId="66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50" xfId="0" applyFont="1" applyBorder="1" applyAlignment="1" applyProtection="1">
      <alignment vertical="center"/>
      <protection locked="0"/>
    </xf>
    <xf numFmtId="0" fontId="10" fillId="0" borderId="47" xfId="0" applyFont="1" applyBorder="1" applyAlignment="1" applyProtection="1">
      <alignment vertical="center"/>
      <protection locked="0"/>
    </xf>
    <xf numFmtId="0" fontId="10" fillId="0" borderId="67" xfId="0" applyFont="1" applyBorder="1" applyAlignment="1" applyProtection="1">
      <alignment vertical="center"/>
      <protection locked="0"/>
    </xf>
    <xf numFmtId="0" fontId="10" fillId="0" borderId="68" xfId="0" applyFont="1" applyBorder="1" applyAlignment="1" applyProtection="1">
      <alignment vertical="center"/>
      <protection locked="0"/>
    </xf>
    <xf numFmtId="0" fontId="10" fillId="0" borderId="69" xfId="0" applyFont="1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center" vertical="center"/>
      <protection hidden="1"/>
    </xf>
    <xf numFmtId="0" fontId="28" fillId="0" borderId="70" xfId="0" applyFont="1" applyBorder="1" applyAlignment="1" applyProtection="1">
      <alignment horizontal="center" vertical="center"/>
      <protection hidden="1"/>
    </xf>
    <xf numFmtId="0" fontId="18" fillId="0" borderId="32" xfId="0" applyFont="1" applyBorder="1" applyAlignment="1" applyProtection="1">
      <alignment horizontal="center" vertical="center"/>
      <protection hidden="1"/>
    </xf>
    <xf numFmtId="0" fontId="18" fillId="0" borderId="70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17" fillId="0" borderId="49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9" fillId="0" borderId="71" xfId="0" applyFont="1" applyBorder="1" applyAlignment="1" quotePrefix="1">
      <alignment horizontal="center" vertical="center" shrinkToFit="1"/>
    </xf>
    <xf numFmtId="0" fontId="9" fillId="0" borderId="72" xfId="0" applyFont="1" applyBorder="1" applyAlignment="1" quotePrefix="1">
      <alignment horizontal="center" vertical="center" shrinkToFit="1"/>
    </xf>
    <xf numFmtId="0" fontId="9" fillId="0" borderId="73" xfId="0" applyFont="1" applyBorder="1" applyAlignment="1" quotePrefix="1">
      <alignment horizontal="center" vertical="center" shrinkToFit="1"/>
    </xf>
    <xf numFmtId="0" fontId="9" fillId="0" borderId="74" xfId="0" applyFont="1" applyBorder="1" applyAlignment="1" quotePrefix="1">
      <alignment horizontal="center" vertical="center" shrinkToFit="1"/>
    </xf>
    <xf numFmtId="0" fontId="7" fillId="0" borderId="7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8" fillId="0" borderId="76" xfId="0" applyFont="1" applyBorder="1" applyAlignment="1" quotePrefix="1">
      <alignment horizontal="center" vertical="center" shrinkToFit="1"/>
    </xf>
    <xf numFmtId="0" fontId="8" fillId="0" borderId="64" xfId="0" applyFont="1" applyBorder="1" applyAlignment="1" quotePrefix="1">
      <alignment horizontal="center" vertical="center" shrinkToFit="1"/>
    </xf>
    <xf numFmtId="0" fontId="11" fillId="0" borderId="76" xfId="0" applyFont="1" applyBorder="1" applyAlignment="1" quotePrefix="1">
      <alignment horizontal="center" vertical="center" shrinkToFit="1"/>
    </xf>
    <xf numFmtId="0" fontId="11" fillId="0" borderId="64" xfId="0" applyFont="1" applyBorder="1" applyAlignment="1" quotePrefix="1">
      <alignment horizontal="center" vertical="center" shrinkToFit="1"/>
    </xf>
    <xf numFmtId="0" fontId="11" fillId="0" borderId="6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77" xfId="0" applyFont="1" applyBorder="1" applyAlignment="1" quotePrefix="1">
      <alignment horizontal="center" vertical="center"/>
    </xf>
    <xf numFmtId="0" fontId="9" fillId="0" borderId="78" xfId="0" applyFont="1" applyBorder="1" applyAlignment="1" quotePrefix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0" fillId="0" borderId="81" xfId="0" applyBorder="1" applyAlignment="1">
      <alignment vertical="center" shrinkToFit="1"/>
    </xf>
    <xf numFmtId="0" fontId="0" fillId="0" borderId="82" xfId="0" applyBorder="1" applyAlignment="1">
      <alignment vertical="center"/>
    </xf>
    <xf numFmtId="0" fontId="9" fillId="0" borderId="83" xfId="0" applyFont="1" applyBorder="1" applyAlignment="1" quotePrefix="1">
      <alignment horizontal="center" vertical="center"/>
    </xf>
    <xf numFmtId="0" fontId="9" fillId="0" borderId="40" xfId="0" applyFont="1" applyBorder="1" applyAlignment="1" quotePrefix="1">
      <alignment horizontal="center" vertical="center"/>
    </xf>
    <xf numFmtId="0" fontId="9" fillId="0" borderId="34" xfId="0" applyFont="1" applyBorder="1" applyAlignment="1" quotePrefix="1">
      <alignment horizontal="center" vertical="center"/>
    </xf>
    <xf numFmtId="0" fontId="9" fillId="0" borderId="29" xfId="0" applyFont="1" applyBorder="1" applyAlignment="1" quotePrefix="1">
      <alignment horizontal="center" vertical="center"/>
    </xf>
    <xf numFmtId="0" fontId="9" fillId="0" borderId="30" xfId="0" applyFont="1" applyBorder="1" applyAlignment="1" quotePrefix="1">
      <alignment horizontal="center" vertical="center"/>
    </xf>
    <xf numFmtId="0" fontId="9" fillId="0" borderId="31" xfId="0" applyFont="1" applyBorder="1" applyAlignment="1" quotePrefix="1">
      <alignment horizontal="center" vertical="center"/>
    </xf>
    <xf numFmtId="0" fontId="18" fillId="0" borderId="0" xfId="0" applyFont="1" applyBorder="1" applyAlignment="1">
      <alignment vertical="center" shrinkToFit="1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 quotePrefix="1">
      <alignment horizontal="center" vertical="center"/>
      <protection locked="0"/>
    </xf>
    <xf numFmtId="0" fontId="2" fillId="0" borderId="78" xfId="0" applyFont="1" applyBorder="1" applyAlignment="1" applyProtection="1" quotePrefix="1">
      <alignment horizontal="center" vertical="center"/>
      <protection locked="0"/>
    </xf>
    <xf numFmtId="0" fontId="2" fillId="0" borderId="84" xfId="0" applyFont="1" applyBorder="1" applyAlignment="1" applyProtection="1" quotePrefix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0" fillId="0" borderId="48" xfId="0" applyBorder="1" applyAlignment="1" applyProtection="1">
      <alignment horizontal="right" vertical="center"/>
      <protection hidden="1"/>
    </xf>
    <xf numFmtId="0" fontId="0" fillId="0" borderId="39" xfId="0" applyBorder="1" applyAlignment="1" applyProtection="1">
      <alignment horizontal="right" vertical="center"/>
      <protection hidden="1"/>
    </xf>
    <xf numFmtId="0" fontId="13" fillId="0" borderId="85" xfId="0" applyFont="1" applyBorder="1" applyAlignment="1">
      <alignment horizontal="center" vertical="center" shrinkToFi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86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86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7" fillId="0" borderId="87" xfId="0" applyFont="1" applyBorder="1" applyAlignment="1" quotePrefix="1">
      <alignment horizontal="center" vertical="center"/>
    </xf>
    <xf numFmtId="0" fontId="7" fillId="0" borderId="46" xfId="0" applyFont="1" applyBorder="1" applyAlignment="1" quotePrefix="1">
      <alignment horizontal="center" vertical="center"/>
    </xf>
    <xf numFmtId="0" fontId="7" fillId="0" borderId="88" xfId="0" applyFont="1" applyBorder="1" applyAlignment="1" quotePrefix="1">
      <alignment horizontal="center" vertical="center"/>
    </xf>
    <xf numFmtId="0" fontId="0" fillId="0" borderId="77" xfId="0" applyBorder="1" applyAlignment="1">
      <alignment horizontal="left" vertical="center" shrinkToFit="1"/>
    </xf>
    <xf numFmtId="0" fontId="0" fillId="0" borderId="84" xfId="0" applyBorder="1" applyAlignment="1">
      <alignment horizontal="left" vertical="center" shrinkToFi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shrinkToFit="1"/>
      <protection hidden="1"/>
    </xf>
    <xf numFmtId="0" fontId="21" fillId="0" borderId="30" xfId="0" applyFont="1" applyBorder="1" applyAlignment="1" applyProtection="1">
      <alignment horizontal="center" shrinkToFit="1"/>
      <protection hidden="1"/>
    </xf>
    <xf numFmtId="0" fontId="21" fillId="0" borderId="31" xfId="0" applyFont="1" applyBorder="1" applyAlignment="1" applyProtection="1">
      <alignment horizontal="center" shrinkToFit="1"/>
      <protection hidden="1"/>
    </xf>
    <xf numFmtId="0" fontId="20" fillId="0" borderId="12" xfId="0" applyFont="1" applyBorder="1" applyAlignment="1">
      <alignment horizontal="left" shrinkToFit="1"/>
    </xf>
    <xf numFmtId="0" fontId="20" fillId="0" borderId="30" xfId="0" applyFont="1" applyBorder="1" applyAlignment="1">
      <alignment horizontal="left" shrinkToFit="1"/>
    </xf>
    <xf numFmtId="0" fontId="20" fillId="0" borderId="31" xfId="0" applyFont="1" applyBorder="1" applyAlignment="1">
      <alignment horizontal="left" shrinkToFit="1"/>
    </xf>
    <xf numFmtId="0" fontId="20" fillId="0" borderId="0" xfId="0" applyFont="1" applyAlignment="1">
      <alignment horizontal="center" shrinkToFit="1"/>
    </xf>
    <xf numFmtId="0" fontId="0" fillId="0" borderId="40" xfId="0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B1">
      <selection activeCell="D4" sqref="D4:L4"/>
    </sheetView>
  </sheetViews>
  <sheetFormatPr defaultColWidth="8.875" defaultRowHeight="14.25"/>
  <cols>
    <col min="1" max="1" width="2.625" style="30" customWidth="1"/>
    <col min="2" max="2" width="7.625" style="1" customWidth="1"/>
    <col min="3" max="4" width="13.125" style="1" customWidth="1"/>
    <col min="5" max="5" width="3.875" style="1" customWidth="1"/>
    <col min="6" max="6" width="4.00390625" style="1" customWidth="1"/>
    <col min="7" max="10" width="11.125" style="1" customWidth="1"/>
    <col min="11" max="12" width="8.375" style="1" customWidth="1"/>
    <col min="13" max="13" width="8.875" style="1" customWidth="1"/>
    <col min="14" max="15" width="0" style="1" hidden="1" customWidth="1"/>
    <col min="16" max="22" width="8.875" style="1" hidden="1" customWidth="1"/>
    <col min="23" max="28" width="0" style="1" hidden="1" customWidth="1"/>
    <col min="29" max="16384" width="8.875" style="1" customWidth="1"/>
  </cols>
  <sheetData>
    <row r="1" spans="1:13" ht="26.25">
      <c r="A1" s="178" t="s">
        <v>142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96"/>
    </row>
    <row r="2" spans="1:12" ht="15" thickBot="1">
      <c r="A2" s="2"/>
      <c r="F2" s="3"/>
      <c r="G2" s="3"/>
      <c r="H2" s="3"/>
      <c r="L2" s="4" t="s">
        <v>0</v>
      </c>
    </row>
    <row r="3" spans="1:12" ht="15.75" customHeight="1">
      <c r="A3" s="194" t="s">
        <v>1</v>
      </c>
      <c r="B3" s="195"/>
      <c r="C3" s="195"/>
      <c r="D3" s="212"/>
      <c r="E3" s="213"/>
      <c r="F3" s="213"/>
      <c r="G3" s="213"/>
      <c r="H3" s="213"/>
      <c r="I3" s="213"/>
      <c r="J3" s="213"/>
      <c r="K3" s="213"/>
      <c r="L3" s="214"/>
    </row>
    <row r="4" spans="1:12" ht="30.75" customHeight="1" thickBot="1">
      <c r="A4" s="196" t="s">
        <v>2</v>
      </c>
      <c r="B4" s="197"/>
      <c r="C4" s="197"/>
      <c r="D4" s="215"/>
      <c r="E4" s="216"/>
      <c r="F4" s="216"/>
      <c r="G4" s="216"/>
      <c r="H4" s="216"/>
      <c r="I4" s="216"/>
      <c r="J4" s="216"/>
      <c r="K4" s="216"/>
      <c r="L4" s="217"/>
    </row>
    <row r="5" spans="1:12" ht="30" customHeight="1">
      <c r="A5" s="198" t="s">
        <v>3</v>
      </c>
      <c r="B5" s="199"/>
      <c r="C5" s="199"/>
      <c r="D5" s="234"/>
      <c r="E5" s="235"/>
      <c r="F5" s="235"/>
      <c r="G5" s="235"/>
      <c r="H5" s="235"/>
      <c r="I5" s="235"/>
      <c r="J5" s="235"/>
      <c r="K5" s="235"/>
      <c r="L5" s="93" t="s">
        <v>97</v>
      </c>
    </row>
    <row r="6" spans="1:12" ht="30" customHeight="1">
      <c r="A6" s="205" t="s">
        <v>4</v>
      </c>
      <c r="B6" s="206"/>
      <c r="C6" s="207"/>
      <c r="D6" s="231"/>
      <c r="E6" s="232"/>
      <c r="F6" s="232"/>
      <c r="G6" s="232"/>
      <c r="H6" s="232"/>
      <c r="I6" s="232"/>
      <c r="J6" s="232"/>
      <c r="K6" s="232"/>
      <c r="L6" s="233"/>
    </row>
    <row r="7" spans="1:12" ht="30" customHeight="1">
      <c r="A7" s="208" t="s">
        <v>5</v>
      </c>
      <c r="B7" s="209"/>
      <c r="C7" s="210"/>
      <c r="D7" s="228"/>
      <c r="E7" s="229"/>
      <c r="F7" s="229"/>
      <c r="G7" s="229"/>
      <c r="H7" s="229"/>
      <c r="I7" s="229"/>
      <c r="J7" s="229"/>
      <c r="K7" s="229"/>
      <c r="L7" s="230"/>
    </row>
    <row r="8" spans="1:12" ht="18.75" customHeight="1">
      <c r="A8" s="200" t="s">
        <v>98</v>
      </c>
      <c r="B8" s="201"/>
      <c r="C8" s="202"/>
      <c r="D8" s="94" t="s">
        <v>99</v>
      </c>
      <c r="E8" s="218"/>
      <c r="F8" s="218"/>
      <c r="G8" s="218"/>
      <c r="H8" s="219"/>
      <c r="I8" s="203" t="s">
        <v>6</v>
      </c>
      <c r="J8" s="204"/>
      <c r="K8" s="113"/>
      <c r="L8" s="114"/>
    </row>
    <row r="9" spans="1:12" ht="18.75" customHeight="1" thickBot="1">
      <c r="A9" s="238" t="s">
        <v>7</v>
      </c>
      <c r="B9" s="239"/>
      <c r="C9" s="240"/>
      <c r="D9" s="95" t="s">
        <v>99</v>
      </c>
      <c r="E9" s="220"/>
      <c r="F9" s="220"/>
      <c r="G9" s="220"/>
      <c r="H9" s="221"/>
      <c r="I9" s="241" t="s">
        <v>8</v>
      </c>
      <c r="J9" s="242"/>
      <c r="K9" s="115"/>
      <c r="L9" s="116"/>
    </row>
    <row r="10" spans="1:12" ht="12" customHeight="1">
      <c r="A10" s="185"/>
      <c r="B10" s="187" t="s">
        <v>9</v>
      </c>
      <c r="C10" s="189" t="s">
        <v>10</v>
      </c>
      <c r="D10" s="191" t="s">
        <v>100</v>
      </c>
      <c r="E10" s="187" t="s">
        <v>11</v>
      </c>
      <c r="F10" s="187" t="s">
        <v>12</v>
      </c>
      <c r="G10" s="179">
        <v>1</v>
      </c>
      <c r="H10" s="227"/>
      <c r="I10" s="179">
        <v>3</v>
      </c>
      <c r="J10" s="180"/>
      <c r="K10" s="106" t="s">
        <v>13</v>
      </c>
      <c r="L10" s="5" t="s">
        <v>14</v>
      </c>
    </row>
    <row r="11" spans="1:12" ht="14.25">
      <c r="A11" s="186"/>
      <c r="B11" s="188"/>
      <c r="C11" s="190"/>
      <c r="D11" s="192"/>
      <c r="E11" s="193"/>
      <c r="F11" s="193"/>
      <c r="G11" s="6" t="s">
        <v>15</v>
      </c>
      <c r="H11" s="7" t="s">
        <v>16</v>
      </c>
      <c r="I11" s="6" t="s">
        <v>17</v>
      </c>
      <c r="J11" s="104" t="s">
        <v>16</v>
      </c>
      <c r="K11" s="107" t="s">
        <v>18</v>
      </c>
      <c r="L11" s="8" t="s">
        <v>18</v>
      </c>
    </row>
    <row r="12" spans="1:26" ht="14.25">
      <c r="A12" s="9" t="s">
        <v>19</v>
      </c>
      <c r="B12" s="10">
        <v>1234</v>
      </c>
      <c r="C12" s="11" t="s">
        <v>20</v>
      </c>
      <c r="D12" s="12" t="s">
        <v>101</v>
      </c>
      <c r="E12" s="13" t="s">
        <v>21</v>
      </c>
      <c r="F12" s="11">
        <v>2</v>
      </c>
      <c r="G12" s="14">
        <v>100</v>
      </c>
      <c r="H12" s="15">
        <v>1088</v>
      </c>
      <c r="I12" s="16" t="s">
        <v>22</v>
      </c>
      <c r="J12" s="105">
        <v>5862</v>
      </c>
      <c r="K12" s="108" t="s">
        <v>102</v>
      </c>
      <c r="L12" s="112" t="s">
        <v>102</v>
      </c>
      <c r="P12" s="1" t="s">
        <v>70</v>
      </c>
      <c r="Q12" s="1" t="s">
        <v>71</v>
      </c>
      <c r="R12" s="1" t="s">
        <v>72</v>
      </c>
      <c r="S12" s="1" t="s">
        <v>73</v>
      </c>
      <c r="U12" s="1" t="s">
        <v>124</v>
      </c>
      <c r="V12" s="1" t="s">
        <v>125</v>
      </c>
      <c r="W12" s="1" t="s">
        <v>133</v>
      </c>
      <c r="X12" s="1" t="s">
        <v>134</v>
      </c>
      <c r="Y12" s="1" t="s">
        <v>135</v>
      </c>
      <c r="Z12" s="1" t="s">
        <v>136</v>
      </c>
    </row>
    <row r="13" spans="1:26" ht="27.75" customHeight="1">
      <c r="A13" s="17">
        <v>1</v>
      </c>
      <c r="B13" s="117"/>
      <c r="C13" s="118"/>
      <c r="D13" s="119"/>
      <c r="E13" s="120"/>
      <c r="F13" s="118"/>
      <c r="G13" s="121"/>
      <c r="H13" s="122"/>
      <c r="I13" s="121"/>
      <c r="J13" s="123"/>
      <c r="K13" s="124"/>
      <c r="L13" s="125"/>
      <c r="N13" s="18"/>
      <c r="P13" s="1" t="s">
        <v>74</v>
      </c>
      <c r="Q13" s="1" t="s">
        <v>75</v>
      </c>
      <c r="R13" s="1" t="s">
        <v>76</v>
      </c>
      <c r="S13" s="1" t="s">
        <v>76</v>
      </c>
      <c r="U13" s="1">
        <f>E13&amp;G13</f>
      </c>
      <c r="V13" s="1">
        <f>E13&amp;I13</f>
      </c>
      <c r="W13" s="1">
        <f>E13&amp;K13</f>
      </c>
      <c r="X13" s="1">
        <f>E13&amp;L13</f>
      </c>
      <c r="Y13" s="1">
        <f>E13&amp;K13</f>
      </c>
      <c r="Z13" s="1">
        <f>E13&amp;L13</f>
      </c>
    </row>
    <row r="14" spans="1:26" ht="27.75" customHeight="1">
      <c r="A14" s="17">
        <v>2</v>
      </c>
      <c r="B14" s="117"/>
      <c r="C14" s="118"/>
      <c r="D14" s="119"/>
      <c r="E14" s="118"/>
      <c r="F14" s="118"/>
      <c r="G14" s="126"/>
      <c r="H14" s="122"/>
      <c r="I14" s="126"/>
      <c r="J14" s="123"/>
      <c r="K14" s="127"/>
      <c r="L14" s="128"/>
      <c r="Q14" s="1" t="s">
        <v>77</v>
      </c>
      <c r="R14" s="1" t="s">
        <v>78</v>
      </c>
      <c r="S14" s="1" t="s">
        <v>78</v>
      </c>
      <c r="U14" s="1">
        <f aca="true" t="shared" si="0" ref="U14:U37">E14&amp;G14</f>
      </c>
      <c r="V14" s="1">
        <f aca="true" t="shared" si="1" ref="V14:V37">E14&amp;I14</f>
      </c>
      <c r="W14" s="1">
        <f aca="true" t="shared" si="2" ref="W14:W37">E14&amp;K14</f>
      </c>
      <c r="X14" s="1">
        <f aca="true" t="shared" si="3" ref="X14:X37">E14&amp;L14</f>
      </c>
      <c r="Y14" s="1">
        <f aca="true" t="shared" si="4" ref="Y14:Y37">E14&amp;K14</f>
      </c>
      <c r="Z14" s="1">
        <f aca="true" t="shared" si="5" ref="Z14:Z37">E14&amp;L14</f>
      </c>
    </row>
    <row r="15" spans="1:26" ht="27.75" customHeight="1">
      <c r="A15" s="17">
        <v>3</v>
      </c>
      <c r="B15" s="117"/>
      <c r="C15" s="118"/>
      <c r="D15" s="119"/>
      <c r="E15" s="118"/>
      <c r="F15" s="118"/>
      <c r="G15" s="126"/>
      <c r="H15" s="122"/>
      <c r="I15" s="126"/>
      <c r="J15" s="123"/>
      <c r="K15" s="127"/>
      <c r="L15" s="128"/>
      <c r="R15" s="1" t="s">
        <v>79</v>
      </c>
      <c r="S15" s="1" t="s">
        <v>79</v>
      </c>
      <c r="U15" s="1">
        <f t="shared" si="0"/>
      </c>
      <c r="V15" s="1">
        <f t="shared" si="1"/>
      </c>
      <c r="W15" s="1">
        <f t="shared" si="2"/>
      </c>
      <c r="X15" s="1">
        <f t="shared" si="3"/>
      </c>
      <c r="Y15" s="1">
        <f t="shared" si="4"/>
      </c>
      <c r="Z15" s="1">
        <f t="shared" si="5"/>
      </c>
    </row>
    <row r="16" spans="1:26" ht="27.75" customHeight="1">
      <c r="A16" s="17">
        <v>4</v>
      </c>
      <c r="B16" s="117"/>
      <c r="C16" s="118"/>
      <c r="D16" s="119"/>
      <c r="E16" s="118"/>
      <c r="F16" s="118"/>
      <c r="G16" s="126"/>
      <c r="H16" s="122"/>
      <c r="I16" s="126"/>
      <c r="J16" s="123"/>
      <c r="K16" s="127"/>
      <c r="L16" s="128"/>
      <c r="R16" s="1" t="s">
        <v>80</v>
      </c>
      <c r="S16" s="1" t="s">
        <v>80</v>
      </c>
      <c r="U16" s="1">
        <f t="shared" si="0"/>
      </c>
      <c r="V16" s="1">
        <f t="shared" si="1"/>
      </c>
      <c r="W16" s="1">
        <f t="shared" si="2"/>
      </c>
      <c r="X16" s="1">
        <f t="shared" si="3"/>
      </c>
      <c r="Y16" s="1">
        <f t="shared" si="4"/>
      </c>
      <c r="Z16" s="1">
        <f t="shared" si="5"/>
      </c>
    </row>
    <row r="17" spans="1:26" ht="27.75" customHeight="1" thickBot="1">
      <c r="A17" s="19">
        <v>5</v>
      </c>
      <c r="B17" s="129"/>
      <c r="C17" s="130"/>
      <c r="D17" s="131"/>
      <c r="E17" s="130"/>
      <c r="F17" s="130"/>
      <c r="G17" s="132"/>
      <c r="H17" s="133"/>
      <c r="I17" s="132"/>
      <c r="J17" s="134"/>
      <c r="K17" s="135"/>
      <c r="L17" s="136"/>
      <c r="R17" s="1" t="s">
        <v>81</v>
      </c>
      <c r="S17" s="1" t="s">
        <v>81</v>
      </c>
      <c r="U17" s="1">
        <f t="shared" si="0"/>
      </c>
      <c r="V17" s="1">
        <f t="shared" si="1"/>
      </c>
      <c r="W17" s="1">
        <f t="shared" si="2"/>
      </c>
      <c r="X17" s="1">
        <f t="shared" si="3"/>
      </c>
      <c r="Y17" s="1">
        <f t="shared" si="4"/>
      </c>
      <c r="Z17" s="1">
        <f t="shared" si="5"/>
      </c>
    </row>
    <row r="18" spans="1:26" ht="27.75" customHeight="1">
      <c r="A18" s="20">
        <v>6</v>
      </c>
      <c r="B18" s="137"/>
      <c r="C18" s="138"/>
      <c r="D18" s="139"/>
      <c r="E18" s="138"/>
      <c r="F18" s="138"/>
      <c r="G18" s="140"/>
      <c r="H18" s="141"/>
      <c r="I18" s="140"/>
      <c r="J18" s="142"/>
      <c r="K18" s="143"/>
      <c r="L18" s="144"/>
      <c r="R18" s="1" t="s">
        <v>82</v>
      </c>
      <c r="S18" s="1" t="s">
        <v>83</v>
      </c>
      <c r="U18" s="1">
        <f t="shared" si="0"/>
      </c>
      <c r="V18" s="1">
        <f t="shared" si="1"/>
      </c>
      <c r="W18" s="1">
        <f t="shared" si="2"/>
      </c>
      <c r="X18" s="1">
        <f t="shared" si="3"/>
      </c>
      <c r="Y18" s="1">
        <f t="shared" si="4"/>
      </c>
      <c r="Z18" s="1">
        <f t="shared" si="5"/>
      </c>
    </row>
    <row r="19" spans="1:26" ht="27.75" customHeight="1">
      <c r="A19" s="17">
        <v>7</v>
      </c>
      <c r="B19" s="117"/>
      <c r="C19" s="118"/>
      <c r="D19" s="119"/>
      <c r="E19" s="118"/>
      <c r="F19" s="118"/>
      <c r="G19" s="126"/>
      <c r="H19" s="122"/>
      <c r="I19" s="126"/>
      <c r="J19" s="123"/>
      <c r="K19" s="127"/>
      <c r="L19" s="128"/>
      <c r="R19" s="1" t="s">
        <v>84</v>
      </c>
      <c r="S19" s="1" t="s">
        <v>82</v>
      </c>
      <c r="U19" s="1">
        <f t="shared" si="0"/>
      </c>
      <c r="V19" s="1">
        <f t="shared" si="1"/>
      </c>
      <c r="W19" s="1">
        <f t="shared" si="2"/>
      </c>
      <c r="X19" s="1">
        <f t="shared" si="3"/>
      </c>
      <c r="Y19" s="1">
        <f t="shared" si="4"/>
      </c>
      <c r="Z19" s="1">
        <f t="shared" si="5"/>
      </c>
    </row>
    <row r="20" spans="1:26" ht="27.75" customHeight="1">
      <c r="A20" s="17">
        <v>8</v>
      </c>
      <c r="B20" s="117"/>
      <c r="C20" s="118"/>
      <c r="D20" s="119"/>
      <c r="E20" s="118"/>
      <c r="F20" s="118"/>
      <c r="G20" s="126"/>
      <c r="H20" s="122"/>
      <c r="I20" s="126"/>
      <c r="J20" s="123"/>
      <c r="K20" s="127"/>
      <c r="L20" s="128"/>
      <c r="R20" s="1" t="s">
        <v>108</v>
      </c>
      <c r="S20" s="1" t="s">
        <v>85</v>
      </c>
      <c r="U20" s="1">
        <f t="shared" si="0"/>
      </c>
      <c r="V20" s="1">
        <f t="shared" si="1"/>
      </c>
      <c r="W20" s="1">
        <f t="shared" si="2"/>
      </c>
      <c r="X20" s="1">
        <f t="shared" si="3"/>
      </c>
      <c r="Y20" s="1">
        <f t="shared" si="4"/>
      </c>
      <c r="Z20" s="1">
        <f t="shared" si="5"/>
      </c>
    </row>
    <row r="21" spans="1:26" ht="27.75" customHeight="1">
      <c r="A21" s="17">
        <v>9</v>
      </c>
      <c r="B21" s="117"/>
      <c r="C21" s="118"/>
      <c r="D21" s="119"/>
      <c r="E21" s="118"/>
      <c r="F21" s="118"/>
      <c r="G21" s="126"/>
      <c r="H21" s="122"/>
      <c r="I21" s="126"/>
      <c r="J21" s="123"/>
      <c r="K21" s="127"/>
      <c r="L21" s="128"/>
      <c r="R21" s="1" t="s">
        <v>86</v>
      </c>
      <c r="S21" s="1" t="s">
        <v>116</v>
      </c>
      <c r="U21" s="1">
        <f t="shared" si="0"/>
      </c>
      <c r="V21" s="1">
        <f t="shared" si="1"/>
      </c>
      <c r="W21" s="1">
        <f t="shared" si="2"/>
      </c>
      <c r="X21" s="1">
        <f t="shared" si="3"/>
      </c>
      <c r="Y21" s="1">
        <f t="shared" si="4"/>
      </c>
      <c r="Z21" s="1">
        <f t="shared" si="5"/>
      </c>
    </row>
    <row r="22" spans="1:26" ht="27.75" customHeight="1" thickBot="1">
      <c r="A22" s="19">
        <v>10</v>
      </c>
      <c r="B22" s="129"/>
      <c r="C22" s="130"/>
      <c r="D22" s="131"/>
      <c r="E22" s="130"/>
      <c r="F22" s="130"/>
      <c r="G22" s="132"/>
      <c r="H22" s="133"/>
      <c r="I22" s="132"/>
      <c r="J22" s="134"/>
      <c r="K22" s="135"/>
      <c r="L22" s="136"/>
      <c r="R22" s="1" t="s">
        <v>87</v>
      </c>
      <c r="S22" s="1" t="s">
        <v>86</v>
      </c>
      <c r="U22" s="1">
        <f t="shared" si="0"/>
      </c>
      <c r="V22" s="1">
        <f t="shared" si="1"/>
      </c>
      <c r="W22" s="1">
        <f t="shared" si="2"/>
      </c>
      <c r="X22" s="1">
        <f t="shared" si="3"/>
      </c>
      <c r="Y22" s="1">
        <f t="shared" si="4"/>
      </c>
      <c r="Z22" s="1">
        <f t="shared" si="5"/>
      </c>
    </row>
    <row r="23" spans="1:26" ht="27.75" customHeight="1">
      <c r="A23" s="20">
        <v>11</v>
      </c>
      <c r="B23" s="137"/>
      <c r="C23" s="138"/>
      <c r="D23" s="139"/>
      <c r="E23" s="138"/>
      <c r="F23" s="138"/>
      <c r="G23" s="140"/>
      <c r="H23" s="141"/>
      <c r="I23" s="140"/>
      <c r="J23" s="142"/>
      <c r="K23" s="143"/>
      <c r="L23" s="144"/>
      <c r="R23" s="1" t="s">
        <v>127</v>
      </c>
      <c r="S23" s="1" t="s">
        <v>88</v>
      </c>
      <c r="U23" s="1">
        <f t="shared" si="0"/>
      </c>
      <c r="V23" s="1">
        <f t="shared" si="1"/>
      </c>
      <c r="W23" s="1">
        <f t="shared" si="2"/>
      </c>
      <c r="X23" s="1">
        <f t="shared" si="3"/>
      </c>
      <c r="Y23" s="1">
        <f t="shared" si="4"/>
      </c>
      <c r="Z23" s="1">
        <f t="shared" si="5"/>
      </c>
    </row>
    <row r="24" spans="1:26" ht="27.75" customHeight="1">
      <c r="A24" s="17">
        <v>12</v>
      </c>
      <c r="B24" s="117"/>
      <c r="C24" s="118"/>
      <c r="D24" s="119"/>
      <c r="E24" s="118"/>
      <c r="F24" s="118"/>
      <c r="G24" s="126"/>
      <c r="H24" s="122"/>
      <c r="I24" s="126"/>
      <c r="J24" s="123"/>
      <c r="K24" s="127"/>
      <c r="L24" s="128"/>
      <c r="R24" s="1" t="s">
        <v>109</v>
      </c>
      <c r="S24" s="1" t="s">
        <v>109</v>
      </c>
      <c r="U24" s="1">
        <f t="shared" si="0"/>
      </c>
      <c r="V24" s="1">
        <f t="shared" si="1"/>
      </c>
      <c r="W24" s="1">
        <f t="shared" si="2"/>
      </c>
      <c r="X24" s="1">
        <f t="shared" si="3"/>
      </c>
      <c r="Y24" s="1">
        <f t="shared" si="4"/>
      </c>
      <c r="Z24" s="1">
        <f t="shared" si="5"/>
      </c>
    </row>
    <row r="25" spans="1:26" ht="27.75" customHeight="1">
      <c r="A25" s="17">
        <v>13</v>
      </c>
      <c r="B25" s="117"/>
      <c r="C25" s="118"/>
      <c r="D25" s="119"/>
      <c r="E25" s="118"/>
      <c r="F25" s="118"/>
      <c r="G25" s="126"/>
      <c r="H25" s="122"/>
      <c r="I25" s="126"/>
      <c r="J25" s="123"/>
      <c r="K25" s="127"/>
      <c r="L25" s="128"/>
      <c r="R25" s="1" t="s">
        <v>110</v>
      </c>
      <c r="S25" s="1" t="s">
        <v>110</v>
      </c>
      <c r="U25" s="1">
        <f t="shared" si="0"/>
      </c>
      <c r="V25" s="1">
        <f t="shared" si="1"/>
      </c>
      <c r="W25" s="1">
        <f t="shared" si="2"/>
      </c>
      <c r="X25" s="1">
        <f t="shared" si="3"/>
      </c>
      <c r="Y25" s="1">
        <f t="shared" si="4"/>
      </c>
      <c r="Z25" s="1">
        <f t="shared" si="5"/>
      </c>
    </row>
    <row r="26" spans="1:26" ht="27.75" customHeight="1">
      <c r="A26" s="17">
        <v>14</v>
      </c>
      <c r="B26" s="117"/>
      <c r="C26" s="118"/>
      <c r="D26" s="119"/>
      <c r="E26" s="118"/>
      <c r="F26" s="118"/>
      <c r="G26" s="126"/>
      <c r="H26" s="122"/>
      <c r="I26" s="126"/>
      <c r="J26" s="123"/>
      <c r="K26" s="127"/>
      <c r="L26" s="128"/>
      <c r="R26" s="1" t="s">
        <v>111</v>
      </c>
      <c r="S26" s="1" t="s">
        <v>132</v>
      </c>
      <c r="U26" s="1">
        <f t="shared" si="0"/>
      </c>
      <c r="V26" s="1">
        <f t="shared" si="1"/>
      </c>
      <c r="W26" s="1">
        <f t="shared" si="2"/>
      </c>
      <c r="X26" s="1">
        <f t="shared" si="3"/>
      </c>
      <c r="Y26" s="1">
        <f t="shared" si="4"/>
      </c>
      <c r="Z26" s="1">
        <f t="shared" si="5"/>
      </c>
    </row>
    <row r="27" spans="1:26" ht="27.75" customHeight="1" thickBot="1">
      <c r="A27" s="21">
        <v>15</v>
      </c>
      <c r="B27" s="145"/>
      <c r="C27" s="146"/>
      <c r="D27" s="147"/>
      <c r="E27" s="146"/>
      <c r="F27" s="146"/>
      <c r="G27" s="148"/>
      <c r="H27" s="149"/>
      <c r="I27" s="148"/>
      <c r="J27" s="150"/>
      <c r="K27" s="151"/>
      <c r="L27" s="152"/>
      <c r="R27" s="1" t="s">
        <v>112</v>
      </c>
      <c r="S27" s="1" t="s">
        <v>89</v>
      </c>
      <c r="U27" s="1">
        <f t="shared" si="0"/>
      </c>
      <c r="V27" s="1">
        <f t="shared" si="1"/>
      </c>
      <c r="W27" s="1">
        <f t="shared" si="2"/>
      </c>
      <c r="X27" s="1">
        <f t="shared" si="3"/>
      </c>
      <c r="Y27" s="1">
        <f t="shared" si="4"/>
      </c>
      <c r="Z27" s="1">
        <f t="shared" si="5"/>
      </c>
    </row>
    <row r="28" spans="1:26" ht="27.75" customHeight="1">
      <c r="A28" s="22">
        <v>16</v>
      </c>
      <c r="B28" s="153"/>
      <c r="C28" s="154"/>
      <c r="D28" s="155"/>
      <c r="E28" s="154"/>
      <c r="F28" s="154"/>
      <c r="G28" s="156"/>
      <c r="H28" s="157"/>
      <c r="I28" s="156"/>
      <c r="J28" s="158"/>
      <c r="K28" s="159"/>
      <c r="L28" s="160"/>
      <c r="R28" s="1" t="s">
        <v>89</v>
      </c>
      <c r="S28" s="1" t="s">
        <v>90</v>
      </c>
      <c r="U28" s="1">
        <f t="shared" si="0"/>
      </c>
      <c r="V28" s="1">
        <f t="shared" si="1"/>
      </c>
      <c r="W28" s="1">
        <f t="shared" si="2"/>
      </c>
      <c r="X28" s="1">
        <f t="shared" si="3"/>
      </c>
      <c r="Y28" s="1">
        <f t="shared" si="4"/>
      </c>
      <c r="Z28" s="1">
        <f t="shared" si="5"/>
      </c>
    </row>
    <row r="29" spans="1:26" ht="27.75" customHeight="1">
      <c r="A29" s="17">
        <v>17</v>
      </c>
      <c r="B29" s="117"/>
      <c r="C29" s="118"/>
      <c r="D29" s="119"/>
      <c r="E29" s="118"/>
      <c r="F29" s="118"/>
      <c r="G29" s="126"/>
      <c r="H29" s="122"/>
      <c r="I29" s="126"/>
      <c r="J29" s="123"/>
      <c r="K29" s="127"/>
      <c r="L29" s="128"/>
      <c r="R29" s="1" t="s">
        <v>113</v>
      </c>
      <c r="S29" s="1" t="s">
        <v>91</v>
      </c>
      <c r="U29" s="1">
        <f t="shared" si="0"/>
      </c>
      <c r="V29" s="1">
        <f t="shared" si="1"/>
      </c>
      <c r="W29" s="1">
        <f t="shared" si="2"/>
      </c>
      <c r="X29" s="1">
        <f t="shared" si="3"/>
      </c>
      <c r="Y29" s="1">
        <f t="shared" si="4"/>
      </c>
      <c r="Z29" s="1">
        <f t="shared" si="5"/>
      </c>
    </row>
    <row r="30" spans="1:26" ht="27.75" customHeight="1">
      <c r="A30" s="17">
        <v>18</v>
      </c>
      <c r="B30" s="117"/>
      <c r="C30" s="118"/>
      <c r="D30" s="119"/>
      <c r="E30" s="118"/>
      <c r="F30" s="118"/>
      <c r="G30" s="126"/>
      <c r="H30" s="122"/>
      <c r="I30" s="126"/>
      <c r="J30" s="123"/>
      <c r="K30" s="127"/>
      <c r="L30" s="128"/>
      <c r="R30" s="1" t="s">
        <v>114</v>
      </c>
      <c r="S30" s="1" t="s">
        <v>93</v>
      </c>
      <c r="U30" s="1">
        <f t="shared" si="0"/>
      </c>
      <c r="V30" s="1">
        <f t="shared" si="1"/>
      </c>
      <c r="W30" s="1">
        <f t="shared" si="2"/>
      </c>
      <c r="X30" s="1">
        <f t="shared" si="3"/>
      </c>
      <c r="Y30" s="1">
        <f t="shared" si="4"/>
      </c>
      <c r="Z30" s="1">
        <f t="shared" si="5"/>
      </c>
    </row>
    <row r="31" spans="1:26" ht="27.75" customHeight="1">
      <c r="A31" s="17">
        <v>19</v>
      </c>
      <c r="B31" s="117"/>
      <c r="C31" s="118"/>
      <c r="D31" s="119"/>
      <c r="E31" s="118"/>
      <c r="F31" s="118"/>
      <c r="G31" s="126"/>
      <c r="H31" s="122"/>
      <c r="I31" s="126"/>
      <c r="J31" s="123"/>
      <c r="K31" s="127"/>
      <c r="L31" s="128"/>
      <c r="R31" s="1" t="s">
        <v>90</v>
      </c>
      <c r="S31" s="1" t="s">
        <v>94</v>
      </c>
      <c r="U31" s="1">
        <f t="shared" si="0"/>
      </c>
      <c r="V31" s="1">
        <f t="shared" si="1"/>
      </c>
      <c r="W31" s="1">
        <f t="shared" si="2"/>
      </c>
      <c r="X31" s="1">
        <f t="shared" si="3"/>
      </c>
      <c r="Y31" s="1">
        <f t="shared" si="4"/>
      </c>
      <c r="Z31" s="1">
        <f t="shared" si="5"/>
      </c>
    </row>
    <row r="32" spans="1:26" ht="27.75" customHeight="1" thickBot="1">
      <c r="A32" s="21">
        <v>20</v>
      </c>
      <c r="B32" s="145"/>
      <c r="C32" s="146"/>
      <c r="D32" s="147"/>
      <c r="E32" s="146"/>
      <c r="F32" s="146"/>
      <c r="G32" s="148"/>
      <c r="H32" s="149"/>
      <c r="I32" s="148"/>
      <c r="J32" s="150"/>
      <c r="K32" s="151"/>
      <c r="L32" s="152"/>
      <c r="R32" s="1" t="s">
        <v>92</v>
      </c>
      <c r="U32" s="1">
        <f t="shared" si="0"/>
      </c>
      <c r="V32" s="1">
        <f t="shared" si="1"/>
      </c>
      <c r="W32" s="1">
        <f t="shared" si="2"/>
      </c>
      <c r="X32" s="1">
        <f t="shared" si="3"/>
      </c>
      <c r="Y32" s="1">
        <f t="shared" si="4"/>
      </c>
      <c r="Z32" s="1">
        <f t="shared" si="5"/>
      </c>
    </row>
    <row r="33" spans="1:26" ht="27.75" customHeight="1">
      <c r="A33" s="20">
        <v>21</v>
      </c>
      <c r="B33" s="137"/>
      <c r="C33" s="138"/>
      <c r="D33" s="139"/>
      <c r="E33" s="138"/>
      <c r="F33" s="138"/>
      <c r="G33" s="140"/>
      <c r="H33" s="141"/>
      <c r="I33" s="140"/>
      <c r="J33" s="142"/>
      <c r="K33" s="143"/>
      <c r="L33" s="144"/>
      <c r="R33" s="1" t="s">
        <v>115</v>
      </c>
      <c r="U33" s="1">
        <f t="shared" si="0"/>
      </c>
      <c r="V33" s="1">
        <f t="shared" si="1"/>
      </c>
      <c r="W33" s="1">
        <f t="shared" si="2"/>
      </c>
      <c r="X33" s="1">
        <f t="shared" si="3"/>
      </c>
      <c r="Y33" s="1">
        <f t="shared" si="4"/>
      </c>
      <c r="Z33" s="1">
        <f t="shared" si="5"/>
      </c>
    </row>
    <row r="34" spans="1:26" ht="27.75" customHeight="1">
      <c r="A34" s="17">
        <v>22</v>
      </c>
      <c r="B34" s="117"/>
      <c r="C34" s="118"/>
      <c r="D34" s="119"/>
      <c r="E34" s="118"/>
      <c r="F34" s="118"/>
      <c r="G34" s="126"/>
      <c r="H34" s="122"/>
      <c r="I34" s="126"/>
      <c r="J34" s="123"/>
      <c r="K34" s="127"/>
      <c r="L34" s="128"/>
      <c r="R34" s="1" t="s">
        <v>91</v>
      </c>
      <c r="U34" s="1">
        <f t="shared" si="0"/>
      </c>
      <c r="V34" s="1">
        <f t="shared" si="1"/>
      </c>
      <c r="W34" s="1">
        <f t="shared" si="2"/>
      </c>
      <c r="X34" s="1">
        <f t="shared" si="3"/>
      </c>
      <c r="Y34" s="1">
        <f t="shared" si="4"/>
      </c>
      <c r="Z34" s="1">
        <f t="shared" si="5"/>
      </c>
    </row>
    <row r="35" spans="1:26" ht="27.75" customHeight="1">
      <c r="A35" s="17">
        <v>23</v>
      </c>
      <c r="B35" s="117"/>
      <c r="C35" s="118"/>
      <c r="D35" s="119"/>
      <c r="E35" s="118"/>
      <c r="F35" s="118"/>
      <c r="G35" s="126"/>
      <c r="H35" s="122"/>
      <c r="I35" s="126"/>
      <c r="J35" s="123"/>
      <c r="K35" s="127"/>
      <c r="L35" s="128"/>
      <c r="R35" s="1" t="s">
        <v>95</v>
      </c>
      <c r="U35" s="1">
        <f t="shared" si="0"/>
      </c>
      <c r="V35" s="1">
        <f t="shared" si="1"/>
      </c>
      <c r="W35" s="1">
        <f t="shared" si="2"/>
      </c>
      <c r="X35" s="1">
        <f t="shared" si="3"/>
      </c>
      <c r="Y35" s="1">
        <f t="shared" si="4"/>
      </c>
      <c r="Z35" s="1">
        <f t="shared" si="5"/>
      </c>
    </row>
    <row r="36" spans="1:26" ht="27.75" customHeight="1">
      <c r="A36" s="17">
        <v>24</v>
      </c>
      <c r="B36" s="117"/>
      <c r="C36" s="118"/>
      <c r="D36" s="119"/>
      <c r="E36" s="118"/>
      <c r="F36" s="118"/>
      <c r="G36" s="126"/>
      <c r="H36" s="122"/>
      <c r="I36" s="126"/>
      <c r="J36" s="176"/>
      <c r="K36" s="127"/>
      <c r="L36" s="128"/>
      <c r="R36" s="1" t="s">
        <v>93</v>
      </c>
      <c r="U36" s="1">
        <f t="shared" si="0"/>
      </c>
      <c r="V36" s="1">
        <f t="shared" si="1"/>
      </c>
      <c r="W36" s="1">
        <f t="shared" si="2"/>
      </c>
      <c r="X36" s="1">
        <f t="shared" si="3"/>
      </c>
      <c r="Y36" s="1">
        <f t="shared" si="4"/>
      </c>
      <c r="Z36" s="1">
        <f t="shared" si="5"/>
      </c>
    </row>
    <row r="37" spans="1:26" ht="27.75" customHeight="1" thickBot="1">
      <c r="A37" s="21">
        <v>25</v>
      </c>
      <c r="B37" s="145"/>
      <c r="C37" s="146"/>
      <c r="D37" s="147"/>
      <c r="E37" s="146"/>
      <c r="F37" s="146"/>
      <c r="G37" s="148"/>
      <c r="H37" s="149"/>
      <c r="I37" s="148"/>
      <c r="J37" s="150"/>
      <c r="K37" s="151"/>
      <c r="L37" s="152"/>
      <c r="R37" s="1" t="s">
        <v>96</v>
      </c>
      <c r="U37" s="1">
        <f t="shared" si="0"/>
      </c>
      <c r="V37" s="1">
        <f t="shared" si="1"/>
      </c>
      <c r="W37" s="1">
        <f t="shared" si="2"/>
      </c>
      <c r="X37" s="1">
        <f t="shared" si="3"/>
      </c>
      <c r="Y37" s="1">
        <f t="shared" si="4"/>
      </c>
      <c r="Z37" s="1">
        <f t="shared" si="5"/>
      </c>
    </row>
    <row r="38" spans="1:26" ht="27.75" customHeight="1">
      <c r="A38" s="181" t="s">
        <v>23</v>
      </c>
      <c r="B38" s="182"/>
      <c r="C38" s="23" t="s">
        <v>24</v>
      </c>
      <c r="D38" s="161"/>
      <c r="E38" s="97" t="s">
        <v>103</v>
      </c>
      <c r="F38" s="97" t="s">
        <v>104</v>
      </c>
      <c r="G38" s="162"/>
      <c r="H38" s="100" t="s">
        <v>105</v>
      </c>
      <c r="I38" s="165">
        <f>D38*G38</f>
        <v>0</v>
      </c>
      <c r="J38" s="24" t="s">
        <v>25</v>
      </c>
      <c r="R38" s="1" t="s">
        <v>94</v>
      </c>
      <c r="W38" s="1">
        <f>COUNTIF(W13:W37,"男○")</f>
        <v>0</v>
      </c>
      <c r="X38" s="1">
        <f>COUNTIF(X13:X37,"男○")</f>
        <v>0</v>
      </c>
      <c r="Y38" s="1">
        <f>COUNTIF(Y13:Y37,"女○")</f>
        <v>0</v>
      </c>
      <c r="Z38" s="1">
        <f>COUNTIF(Z13:Z37,"女○")</f>
        <v>0</v>
      </c>
    </row>
    <row r="39" spans="1:26" ht="27.75" customHeight="1" thickBot="1">
      <c r="A39" s="183"/>
      <c r="B39" s="184"/>
      <c r="C39" s="25" t="s">
        <v>26</v>
      </c>
      <c r="D39" s="98">
        <v>2000</v>
      </c>
      <c r="E39" s="99" t="s">
        <v>103</v>
      </c>
      <c r="F39" s="99" t="s">
        <v>104</v>
      </c>
      <c r="G39" s="163"/>
      <c r="H39" s="101" t="s">
        <v>105</v>
      </c>
      <c r="I39" s="166">
        <f>D39*G39</f>
        <v>0</v>
      </c>
      <c r="J39" s="26" t="s">
        <v>27</v>
      </c>
      <c r="W39" s="1" t="s">
        <v>137</v>
      </c>
      <c r="X39" s="1" t="s">
        <v>138</v>
      </c>
      <c r="Y39" s="1" t="s">
        <v>139</v>
      </c>
      <c r="Z39" s="1" t="s">
        <v>140</v>
      </c>
    </row>
    <row r="40" spans="1:10" ht="27.75" customHeight="1" thickBot="1">
      <c r="A40" s="222" t="s">
        <v>28</v>
      </c>
      <c r="B40" s="223"/>
      <c r="C40" s="224"/>
      <c r="D40" s="103" t="s">
        <v>106</v>
      </c>
      <c r="E40" s="102" t="s">
        <v>103</v>
      </c>
      <c r="F40" s="102" t="s">
        <v>104</v>
      </c>
      <c r="G40" s="164"/>
      <c r="H40" s="1" t="s">
        <v>107</v>
      </c>
      <c r="I40" s="167">
        <f>G40*1000</f>
        <v>0</v>
      </c>
      <c r="J40" s="27" t="s">
        <v>25</v>
      </c>
    </row>
    <row r="41" spans="1:10" ht="27.75" customHeight="1" thickBot="1">
      <c r="A41" s="236" t="s">
        <v>30</v>
      </c>
      <c r="B41" s="237"/>
      <c r="C41" s="237"/>
      <c r="D41" s="237"/>
      <c r="E41" s="237"/>
      <c r="F41" s="237"/>
      <c r="G41" s="237"/>
      <c r="H41" s="225">
        <f>SUM(I38:I40)</f>
        <v>0</v>
      </c>
      <c r="I41" s="226"/>
      <c r="J41" s="29" t="s">
        <v>25</v>
      </c>
    </row>
    <row r="42" ht="11.25" customHeight="1"/>
    <row r="43" spans="3:14" ht="11.25" customHeight="1">
      <c r="C43" s="28" t="s">
        <v>29</v>
      </c>
      <c r="E43" s="18"/>
      <c r="F43" s="18"/>
      <c r="N43" s="18"/>
    </row>
    <row r="44" spans="3:8" ht="17.25" customHeight="1">
      <c r="C44" s="211" t="s">
        <v>31</v>
      </c>
      <c r="D44" s="211"/>
      <c r="E44" s="211"/>
      <c r="F44" s="211"/>
      <c r="H44" s="177"/>
    </row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4" customHeight="1"/>
    <row r="64" ht="24" customHeight="1"/>
    <row r="65" ht="24" customHeight="1"/>
    <row r="66" ht="24" customHeight="1"/>
  </sheetData>
  <sheetProtection password="CD83" sheet="1" objects="1" scenarios="1"/>
  <mergeCells count="30">
    <mergeCell ref="A41:G41"/>
    <mergeCell ref="A9:C9"/>
    <mergeCell ref="I9:J9"/>
    <mergeCell ref="C44:F44"/>
    <mergeCell ref="D3:L3"/>
    <mergeCell ref="D4:L4"/>
    <mergeCell ref="E8:H8"/>
    <mergeCell ref="E9:H9"/>
    <mergeCell ref="A40:C40"/>
    <mergeCell ref="H41:I41"/>
    <mergeCell ref="G10:H10"/>
    <mergeCell ref="D7:L7"/>
    <mergeCell ref="D6:L6"/>
    <mergeCell ref="A4:C4"/>
    <mergeCell ref="A5:C5"/>
    <mergeCell ref="A8:C8"/>
    <mergeCell ref="I8:J8"/>
    <mergeCell ref="A6:C6"/>
    <mergeCell ref="A7:C7"/>
    <mergeCell ref="D5:K5"/>
    <mergeCell ref="A1:L1"/>
    <mergeCell ref="I10:J10"/>
    <mergeCell ref="A38:B39"/>
    <mergeCell ref="A10:A11"/>
    <mergeCell ref="B10:B11"/>
    <mergeCell ref="C10:C11"/>
    <mergeCell ref="D10:D11"/>
    <mergeCell ref="E10:E11"/>
    <mergeCell ref="F10:F11"/>
    <mergeCell ref="A3:C3"/>
  </mergeCells>
  <dataValidations count="25">
    <dataValidation allowBlank="1" showInputMessage="1" showErrorMessage="1" promptTitle="必須" prompt="申し込みに関する連絡をさせていただく場合がありますので、必ず記入ください。&#13;" sqref="A7:C7"/>
    <dataValidation allowBlank="1" showInputMessage="1" showErrorMessage="1" promptTitle="必須" prompt="プログラム編成会議は１８時以降に行われますので、夜間に連絡がとれる番号をご記入ください。" sqref="A9:C9"/>
    <dataValidation type="list" allowBlank="1" showInputMessage="1" showErrorMessage="1" promptTitle="リレーメンバー" prompt="プログラムに記載する6名を選択してください" sqref="K13:L37">
      <formula1>リレー</formula1>
    </dataValidation>
    <dataValidation allowBlank="1" showInputMessage="1" showErrorMessage="1" prompt="氏名をご記入ください" sqref="C13:C37"/>
    <dataValidation allowBlank="1" showInputMessage="1" showErrorMessage="1" prompt="印刷して送付するものに押印ください" sqref="L5"/>
    <dataValidation allowBlank="1" showInputMessage="1" showErrorMessage="1" prompt="夜間に連絡がつく番号をご記入ください" imeMode="off" sqref="E9:H9"/>
    <dataValidation allowBlank="1" showInputMessage="1" showErrorMessage="1" prompt="電話番号をご記入ください" imeMode="off" sqref="E8:H8"/>
    <dataValidation allowBlank="1" showInputMessage="1" showErrorMessage="1" prompt="連絡用にメールアドレスをご記入ください。&#10;携帯でも構いません。" sqref="D7"/>
    <dataValidation allowBlank="1" showInputMessage="1" showErrorMessage="1" prompt="連絡先住所をご記入ください" sqref="D6"/>
    <dataValidation allowBlank="1" showInputMessage="1" showErrorMessage="1" prompt="申込み責任者のお名前をご記入ください" sqref="D5"/>
    <dataValidation allowBlank="1" showInputMessage="1" showErrorMessage="1" promptTitle="団体名" prompt="団体名をご記入ください" sqref="D4:L4"/>
    <dataValidation allowBlank="1" showInputMessage="1" showErrorMessage="1" promptTitle="フリガナ" prompt="団体のフリガナをご記入ください" imeMode="halfKatakana" sqref="D3:L3"/>
    <dataValidation allowBlank="1" showInputMessage="1" showErrorMessage="1" promptTitle="参加料" prompt="各カテゴリの１種目の金額を入力してください。&#10;" sqref="D38"/>
    <dataValidation allowBlank="1" showInputMessage="1" showErrorMessage="1" prompt="合計種目数を入力してください。" imeMode="off" sqref="G38"/>
    <dataValidation allowBlank="1" showInputMessage="1" showErrorMessage="1" prompt="2012年の登録番号をご記入ください" imeMode="off" sqref="B13:B37"/>
    <dataValidation allowBlank="1" showInputMessage="1" showErrorMessage="1" prompt="フリガナをご記入ください" imeMode="halfKatakana" sqref="D13:D37"/>
    <dataValidation allowBlank="1" showInputMessage="1" showErrorMessage="1" promptTitle="記録入力について" prompt="記録入力は、トラックは100分の1まで、フィールドはｃｍまで入力してください。" imeMode="off" sqref="H13:H37 J13:J37"/>
    <dataValidation allowBlank="1" showInputMessage="1" showErrorMessage="1" promptTitle="400mR" prompt="記録を入力してください&#10;100分の1まで入力してください" imeMode="off" sqref="K8:K9"/>
    <dataValidation allowBlank="1" showInputMessage="1" showErrorMessage="1" promptTitle="1600mR" prompt="記録を入力してください&#10;100分の1まで入力してください" imeMode="off" sqref="L8:L9"/>
    <dataValidation allowBlank="1" showInputMessage="1" showErrorMessage="1" prompt="学生のみ、学年をご記入ください" imeMode="off" sqref="F13:F37"/>
    <dataValidation allowBlank="1" showInputMessage="1" showErrorMessage="1" prompt="購入部数を入力してください。" imeMode="off" sqref="G40"/>
    <dataValidation allowBlank="1" showInputMessage="1" showErrorMessage="1" prompt="合計種目数を入力してください。" imeMode="off" sqref="G39"/>
    <dataValidation type="list" allowBlank="1" showInputMessage="1" showErrorMessage="1" prompt="種目をドロップダウンリストから選択してください。&#13;&#10;&#10;先に性別を選択してください。" sqref="G13:G37">
      <formula1>IF(E13="男",男子種目,$S$13:$S$31)</formula1>
    </dataValidation>
    <dataValidation type="list" allowBlank="1" showInputMessage="1" showErrorMessage="1" prompt="ドロップダウンリストから性別を選択してください。&#13;&#13;種目選択の前に、性別を選択してください。&#13;" sqref="E13:E37">
      <formula1>$Q$13:$Q$14</formula1>
    </dataValidation>
    <dataValidation type="list" allowBlank="1" showInputMessage="1" showErrorMessage="1" prompt="種目をドロップダウンリストから選択してください。&#13;&#10;&#10;先に性別を選択してください。" sqref="I13:I37">
      <formula1>IF(E13="男",男子種目,女子種目)</formula1>
    </dataValidation>
  </dataValidations>
  <printOptions horizontalCentered="1" verticalCentered="1"/>
  <pageMargins left="0.2362204724409449" right="0.2362204724409449" top="0.5511811023622047" bottom="0.35433070866141736" header="0.31496062992125984" footer="0.31496062992125984"/>
  <pageSetup orientation="portrait" paperSize="9" scale="72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M34" sqref="M34:O38"/>
    </sheetView>
  </sheetViews>
  <sheetFormatPr defaultColWidth="8.875" defaultRowHeight="14.25"/>
  <cols>
    <col min="1" max="1" width="4.625" style="34" customWidth="1"/>
    <col min="2" max="2" width="4.125" style="1" hidden="1" customWidth="1"/>
    <col min="3" max="3" width="4.00390625" style="35" hidden="1" customWidth="1"/>
    <col min="4" max="4" width="3.375" style="1" hidden="1" customWidth="1"/>
    <col min="5" max="5" width="15.625" style="36" customWidth="1"/>
    <col min="6" max="6" width="3.00390625" style="37" customWidth="1"/>
    <col min="7" max="7" width="14.625" style="1" customWidth="1"/>
    <col min="8" max="8" width="8.375" style="1" customWidth="1"/>
    <col min="9" max="9" width="4.625" style="1" customWidth="1"/>
    <col min="10" max="12" width="3.875" style="1" hidden="1" customWidth="1"/>
    <col min="13" max="13" width="15.625" style="34" customWidth="1"/>
    <col min="14" max="14" width="3.125" style="1" customWidth="1"/>
    <col min="15" max="15" width="14.625" style="1" customWidth="1"/>
    <col min="16" max="16" width="4.625" style="1" customWidth="1"/>
    <col min="17" max="39" width="0" style="1" hidden="1" customWidth="1"/>
    <col min="40" max="16384" width="8.875" style="1" customWidth="1"/>
  </cols>
  <sheetData>
    <row r="1" spans="1:15" ht="28.5">
      <c r="A1" s="248" t="s">
        <v>117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50"/>
    </row>
    <row r="2" spans="1:15" ht="28.5">
      <c r="A2" s="251" t="s">
        <v>32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spans="1:15" ht="21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 t="s">
        <v>33</v>
      </c>
    </row>
    <row r="4" spans="1:15" ht="31.5">
      <c r="A4" s="31"/>
      <c r="B4" s="31"/>
      <c r="C4" s="31"/>
      <c r="D4" s="31"/>
      <c r="E4" s="31"/>
      <c r="F4" s="31"/>
      <c r="G4" s="33" t="s">
        <v>34</v>
      </c>
      <c r="H4" s="245">
        <f>IF('一覧表'!D4="","",'一覧表'!D4)</f>
      </c>
      <c r="I4" s="246"/>
      <c r="J4" s="246"/>
      <c r="K4" s="246"/>
      <c r="L4" s="246"/>
      <c r="M4" s="246"/>
      <c r="N4" s="246"/>
      <c r="O4" s="247"/>
    </row>
    <row r="5" spans="8:15" ht="39" customHeight="1" thickBot="1">
      <c r="H5" s="252" t="s">
        <v>35</v>
      </c>
      <c r="I5" s="252"/>
      <c r="J5" s="252"/>
      <c r="K5" s="252"/>
      <c r="L5" s="252"/>
      <c r="M5" s="252"/>
      <c r="N5" s="252"/>
      <c r="O5" s="252"/>
    </row>
    <row r="6" spans="1:15" ht="18.75">
      <c r="A6" s="38"/>
      <c r="B6" s="39"/>
      <c r="C6" s="40"/>
      <c r="D6" s="39"/>
      <c r="E6" s="253" t="s">
        <v>36</v>
      </c>
      <c r="F6" s="253"/>
      <c r="G6" s="254"/>
      <c r="H6" s="37"/>
      <c r="I6" s="41"/>
      <c r="J6" s="39"/>
      <c r="K6" s="39"/>
      <c r="L6" s="39"/>
      <c r="M6" s="255" t="s">
        <v>37</v>
      </c>
      <c r="N6" s="255"/>
      <c r="O6" s="256"/>
    </row>
    <row r="7" spans="1:25" ht="14.25">
      <c r="A7" s="42" t="s">
        <v>38</v>
      </c>
      <c r="B7" s="43"/>
      <c r="C7" s="43"/>
      <c r="D7" s="43"/>
      <c r="E7" s="44" t="s">
        <v>39</v>
      </c>
      <c r="F7" s="45"/>
      <c r="G7" s="46" t="s">
        <v>40</v>
      </c>
      <c r="H7" s="47"/>
      <c r="I7" s="42"/>
      <c r="J7" s="43"/>
      <c r="K7" s="43"/>
      <c r="L7" s="48"/>
      <c r="M7" s="44" t="s">
        <v>39</v>
      </c>
      <c r="N7" s="45"/>
      <c r="O7" s="46" t="s">
        <v>40</v>
      </c>
      <c r="R7" s="1">
        <v>1</v>
      </c>
      <c r="S7" s="1">
        <v>2</v>
      </c>
      <c r="T7" s="1" t="s">
        <v>126</v>
      </c>
      <c r="U7" s="1">
        <v>1</v>
      </c>
      <c r="V7" s="1">
        <v>2</v>
      </c>
      <c r="W7" s="1" t="s">
        <v>126</v>
      </c>
      <c r="X7" s="1" t="s">
        <v>72</v>
      </c>
      <c r="Y7" s="1" t="s">
        <v>73</v>
      </c>
    </row>
    <row r="8" spans="1:25" s="55" customFormat="1" ht="14.25">
      <c r="A8" s="49">
        <v>1</v>
      </c>
      <c r="B8" s="50">
        <v>12</v>
      </c>
      <c r="C8" s="169" t="e">
        <f>VLOOKUP(B8,B$41:C$43,2,TRUE)</f>
        <v>#N/A</v>
      </c>
      <c r="D8" s="50">
        <v>1</v>
      </c>
      <c r="E8" s="52" t="s">
        <v>41</v>
      </c>
      <c r="F8" s="53"/>
      <c r="G8" s="170">
        <f>IF(T8=0,"",T8)</f>
      </c>
      <c r="H8" s="54"/>
      <c r="I8" s="49">
        <v>1</v>
      </c>
      <c r="J8" s="50">
        <v>11</v>
      </c>
      <c r="K8" s="51" t="s">
        <v>42</v>
      </c>
      <c r="L8" s="50">
        <v>1</v>
      </c>
      <c r="M8" s="52" t="s">
        <v>41</v>
      </c>
      <c r="N8" s="53"/>
      <c r="O8" s="170">
        <f>IF(W8=0,"",W8)</f>
      </c>
      <c r="R8" s="167">
        <f>COUNTIF('一覧表'!$U$13:$U$37,"男100m")</f>
        <v>0</v>
      </c>
      <c r="S8" s="167">
        <f>COUNTIF('一覧表'!$V$13:$V$37,"男100m")</f>
        <v>0</v>
      </c>
      <c r="T8" s="168">
        <f>SUM(R8:S8)</f>
        <v>0</v>
      </c>
      <c r="U8" s="167">
        <f>COUNTIF('一覧表'!$U$13:$U$37,"女100m")</f>
        <v>0</v>
      </c>
      <c r="V8" s="167">
        <f>COUNTIF('一覧表'!$V$13:$V$37,"女100m")</f>
        <v>0</v>
      </c>
      <c r="W8" s="168">
        <f>SUM(U8:V8)</f>
        <v>0</v>
      </c>
      <c r="X8" s="1" t="s">
        <v>76</v>
      </c>
      <c r="Y8" s="1" t="s">
        <v>76</v>
      </c>
    </row>
    <row r="9" spans="1:25" s="55" customFormat="1" ht="14.25">
      <c r="A9" s="49">
        <v>2</v>
      </c>
      <c r="B9" s="50">
        <v>12</v>
      </c>
      <c r="C9" s="169" t="e">
        <f>VLOOKUP(B9,#REF!,2,TRUE)</f>
        <v>#REF!</v>
      </c>
      <c r="D9" s="50">
        <v>2</v>
      </c>
      <c r="E9" s="52" t="s">
        <v>43</v>
      </c>
      <c r="F9" s="53"/>
      <c r="G9" s="170">
        <f aca="true" t="shared" si="0" ref="G9:G33">IF(T9=0,"",T9)</f>
      </c>
      <c r="H9" s="54"/>
      <c r="I9" s="49">
        <v>2</v>
      </c>
      <c r="J9" s="50">
        <v>11</v>
      </c>
      <c r="K9" s="51" t="s">
        <v>42</v>
      </c>
      <c r="L9" s="50">
        <v>2</v>
      </c>
      <c r="M9" s="52" t="s">
        <v>43</v>
      </c>
      <c r="N9" s="53"/>
      <c r="O9" s="170">
        <f aca="true" t="shared" si="1" ref="O9:O26">IF(W9=0,"",W9)</f>
      </c>
      <c r="R9" s="167">
        <f>COUNTIF('一覧表'!$U$13:$U$37,"男200m")</f>
        <v>0</v>
      </c>
      <c r="S9" s="167">
        <f>COUNTIF('一覧表'!$V$13:$V$37,"男200m")</f>
        <v>0</v>
      </c>
      <c r="T9" s="168">
        <f aca="true" t="shared" si="2" ref="T9:T33">SUM(R9:S9)</f>
        <v>0</v>
      </c>
      <c r="U9" s="167">
        <f>COUNTIF('一覧表'!$U$13:$U$37,"女200m")</f>
        <v>0</v>
      </c>
      <c r="V9" s="167">
        <f>COUNTIF('一覧表'!$V$13:$V$37,"女200m")</f>
        <v>0</v>
      </c>
      <c r="W9" s="168">
        <f aca="true" t="shared" si="3" ref="W9:W26">SUM(U9:V9)</f>
        <v>0</v>
      </c>
      <c r="X9" s="1" t="s">
        <v>78</v>
      </c>
      <c r="Y9" s="1" t="s">
        <v>78</v>
      </c>
    </row>
    <row r="10" spans="1:25" s="55" customFormat="1" ht="14.25">
      <c r="A10" s="49">
        <v>3</v>
      </c>
      <c r="B10" s="50">
        <v>12</v>
      </c>
      <c r="C10" s="169" t="e">
        <f>VLOOKUP(B10,B$41:C$43,2,TRUE)</f>
        <v>#N/A</v>
      </c>
      <c r="D10" s="50">
        <v>3</v>
      </c>
      <c r="E10" s="52" t="s">
        <v>44</v>
      </c>
      <c r="F10" s="53"/>
      <c r="G10" s="170">
        <f t="shared" si="0"/>
      </c>
      <c r="H10" s="54"/>
      <c r="I10" s="49">
        <v>3</v>
      </c>
      <c r="J10" s="50">
        <v>11</v>
      </c>
      <c r="K10" s="51" t="s">
        <v>42</v>
      </c>
      <c r="L10" s="50">
        <v>3</v>
      </c>
      <c r="M10" s="52" t="s">
        <v>44</v>
      </c>
      <c r="N10" s="53"/>
      <c r="O10" s="170">
        <f t="shared" si="1"/>
      </c>
      <c r="R10" s="167">
        <f>COUNTIF('一覧表'!$U$13:$U$37,"男400m")</f>
        <v>0</v>
      </c>
      <c r="S10" s="167">
        <f>COUNTIF('一覧表'!$V$13:$V$37,"男400m")</f>
        <v>0</v>
      </c>
      <c r="T10" s="168">
        <f t="shared" si="2"/>
        <v>0</v>
      </c>
      <c r="U10" s="167">
        <f>COUNTIF('一覧表'!$U$13:$U$37,"女400m")</f>
        <v>0</v>
      </c>
      <c r="V10" s="167">
        <f>COUNTIF('一覧表'!$V$13:$V$37,"女400m")</f>
        <v>0</v>
      </c>
      <c r="W10" s="168">
        <f t="shared" si="3"/>
        <v>0</v>
      </c>
      <c r="X10" s="1" t="s">
        <v>79</v>
      </c>
      <c r="Y10" s="1" t="s">
        <v>79</v>
      </c>
    </row>
    <row r="11" spans="1:25" s="55" customFormat="1" ht="14.25">
      <c r="A11" s="49">
        <v>4</v>
      </c>
      <c r="B11" s="50">
        <v>12</v>
      </c>
      <c r="C11" s="169" t="e">
        <f>VLOOKUP(B11,#REF!,2,TRUE)</f>
        <v>#REF!</v>
      </c>
      <c r="D11" s="50">
        <v>4</v>
      </c>
      <c r="E11" s="52" t="s">
        <v>45</v>
      </c>
      <c r="F11" s="53"/>
      <c r="G11" s="170">
        <f t="shared" si="0"/>
      </c>
      <c r="H11" s="54"/>
      <c r="I11" s="49">
        <v>4</v>
      </c>
      <c r="J11" s="50">
        <v>11</v>
      </c>
      <c r="K11" s="51" t="s">
        <v>42</v>
      </c>
      <c r="L11" s="50">
        <v>4</v>
      </c>
      <c r="M11" s="52" t="s">
        <v>45</v>
      </c>
      <c r="N11" s="53"/>
      <c r="O11" s="170">
        <f t="shared" si="1"/>
      </c>
      <c r="R11" s="167">
        <f>COUNTIF('一覧表'!$U$13:$U$37,"男800m")</f>
        <v>0</v>
      </c>
      <c r="S11" s="167">
        <f>COUNTIF('一覧表'!$V$13:$V$37,"男800m")</f>
        <v>0</v>
      </c>
      <c r="T11" s="168">
        <f t="shared" si="2"/>
        <v>0</v>
      </c>
      <c r="U11" s="167">
        <f>COUNTIF('一覧表'!$U$13:$U$37,"女800m")</f>
        <v>0</v>
      </c>
      <c r="V11" s="167">
        <f>COUNTIF('一覧表'!$V$13:$V$37,"女800m")</f>
        <v>0</v>
      </c>
      <c r="W11" s="168">
        <f t="shared" si="3"/>
        <v>0</v>
      </c>
      <c r="X11" s="1" t="s">
        <v>80</v>
      </c>
      <c r="Y11" s="1" t="s">
        <v>80</v>
      </c>
    </row>
    <row r="12" spans="1:25" s="55" customFormat="1" ht="14.25">
      <c r="A12" s="49">
        <v>5</v>
      </c>
      <c r="B12" s="50">
        <v>12</v>
      </c>
      <c r="C12" s="169" t="e">
        <f>VLOOKUP(B12,B$41:C$43,2,TRUE)</f>
        <v>#N/A</v>
      </c>
      <c r="D12" s="50">
        <v>5</v>
      </c>
      <c r="E12" s="52" t="s">
        <v>46</v>
      </c>
      <c r="F12" s="53"/>
      <c r="G12" s="170">
        <f t="shared" si="0"/>
      </c>
      <c r="H12" s="54"/>
      <c r="I12" s="49">
        <v>5</v>
      </c>
      <c r="J12" s="50">
        <v>11</v>
      </c>
      <c r="K12" s="51" t="s">
        <v>42</v>
      </c>
      <c r="L12" s="50">
        <v>5</v>
      </c>
      <c r="M12" s="52" t="s">
        <v>46</v>
      </c>
      <c r="N12" s="53"/>
      <c r="O12" s="170">
        <f t="shared" si="1"/>
      </c>
      <c r="R12" s="167">
        <f>COUNTIF('一覧表'!$U$13:$U$37,"男1500m")</f>
        <v>0</v>
      </c>
      <c r="S12" s="167">
        <f>COUNTIF('一覧表'!$V$13:$V$37,"男1500m")</f>
        <v>0</v>
      </c>
      <c r="T12" s="168">
        <f t="shared" si="2"/>
        <v>0</v>
      </c>
      <c r="U12" s="167">
        <f>COUNTIF('一覧表'!$U$13:$U$37,"女1500m")</f>
        <v>0</v>
      </c>
      <c r="V12" s="167">
        <f>COUNTIF('一覧表'!$V$13:$V$37,"女1500m")</f>
        <v>0</v>
      </c>
      <c r="W12" s="168">
        <f t="shared" si="3"/>
        <v>0</v>
      </c>
      <c r="X12" s="1" t="s">
        <v>81</v>
      </c>
      <c r="Y12" s="1" t="s">
        <v>81</v>
      </c>
    </row>
    <row r="13" spans="1:25" s="55" customFormat="1" ht="14.25">
      <c r="A13" s="49">
        <v>6</v>
      </c>
      <c r="B13" s="50">
        <v>12</v>
      </c>
      <c r="C13" s="169" t="e">
        <f>VLOOKUP(B13,B$41:C$43,2,TRUE)</f>
        <v>#N/A</v>
      </c>
      <c r="D13" s="50">
        <v>7</v>
      </c>
      <c r="E13" s="52" t="s">
        <v>47</v>
      </c>
      <c r="F13" s="53"/>
      <c r="G13" s="170">
        <f t="shared" si="0"/>
      </c>
      <c r="H13" s="54"/>
      <c r="I13" s="49">
        <v>6</v>
      </c>
      <c r="J13" s="50">
        <v>11</v>
      </c>
      <c r="K13" s="51" t="s">
        <v>42</v>
      </c>
      <c r="L13" s="50">
        <v>6</v>
      </c>
      <c r="M13" s="52" t="s">
        <v>48</v>
      </c>
      <c r="N13" s="53"/>
      <c r="O13" s="170">
        <f t="shared" si="1"/>
      </c>
      <c r="R13" s="167">
        <f>COUNTIF('一覧表'!$U$13:$U$37,"男5000m")</f>
        <v>0</v>
      </c>
      <c r="S13" s="167">
        <f>COUNTIF('一覧表'!$V$13:$V$37,"男5000m")</f>
        <v>0</v>
      </c>
      <c r="T13" s="168">
        <f t="shared" si="2"/>
        <v>0</v>
      </c>
      <c r="U13" s="167">
        <f>COUNTIF('一覧表'!$U$13:$U$37,"女3000m")</f>
        <v>0</v>
      </c>
      <c r="V13" s="167">
        <f>COUNTIF('一覧表'!$V$13:$V$37,"女3000m")</f>
        <v>0</v>
      </c>
      <c r="W13" s="168">
        <f t="shared" si="3"/>
        <v>0</v>
      </c>
      <c r="X13" s="1" t="s">
        <v>82</v>
      </c>
      <c r="Y13" s="1" t="s">
        <v>83</v>
      </c>
    </row>
    <row r="14" spans="1:25" s="55" customFormat="1" ht="14.25">
      <c r="A14" s="49">
        <v>7</v>
      </c>
      <c r="B14" s="50"/>
      <c r="C14" s="51"/>
      <c r="D14" s="50"/>
      <c r="E14" s="52" t="s">
        <v>49</v>
      </c>
      <c r="F14" s="53" t="s">
        <v>50</v>
      </c>
      <c r="G14" s="170">
        <f t="shared" si="0"/>
      </c>
      <c r="H14" s="54"/>
      <c r="I14" s="49">
        <v>7</v>
      </c>
      <c r="J14" s="50"/>
      <c r="K14" s="51"/>
      <c r="L14" s="50"/>
      <c r="M14" s="52" t="s">
        <v>47</v>
      </c>
      <c r="N14" s="53"/>
      <c r="O14" s="170">
        <f t="shared" si="1"/>
      </c>
      <c r="R14" s="167">
        <f>COUNTIF('一覧表'!$U$13:$U$37,"男110mH")</f>
        <v>0</v>
      </c>
      <c r="S14" s="167">
        <f>COUNTIF('一覧表'!$V$13:$V$37,"男110mH")</f>
        <v>0</v>
      </c>
      <c r="T14" s="168">
        <f t="shared" si="2"/>
        <v>0</v>
      </c>
      <c r="U14" s="167">
        <f>COUNTIF('一覧表'!$U$13:$U$37,"女5000m")</f>
        <v>0</v>
      </c>
      <c r="V14" s="167">
        <f>COUNTIF('一覧表'!$V$13:$V$37,"女5000m")</f>
        <v>0</v>
      </c>
      <c r="W14" s="168">
        <f t="shared" si="3"/>
        <v>0</v>
      </c>
      <c r="X14" s="1" t="s">
        <v>84</v>
      </c>
      <c r="Y14" s="1" t="s">
        <v>82</v>
      </c>
    </row>
    <row r="15" spans="1:25" s="55" customFormat="1" ht="14.25">
      <c r="A15" s="49">
        <v>8</v>
      </c>
      <c r="B15" s="50"/>
      <c r="C15" s="51"/>
      <c r="D15" s="50"/>
      <c r="E15" s="52" t="s">
        <v>123</v>
      </c>
      <c r="F15" s="53" t="s">
        <v>118</v>
      </c>
      <c r="G15" s="170">
        <f t="shared" si="0"/>
      </c>
      <c r="H15" s="54"/>
      <c r="I15" s="49">
        <v>8</v>
      </c>
      <c r="J15" s="50">
        <v>11</v>
      </c>
      <c r="K15" s="51" t="s">
        <v>42</v>
      </c>
      <c r="L15" s="50">
        <v>1</v>
      </c>
      <c r="M15" s="52" t="s">
        <v>41</v>
      </c>
      <c r="N15" s="53" t="s">
        <v>50</v>
      </c>
      <c r="O15" s="170">
        <f t="shared" si="1"/>
      </c>
      <c r="R15" s="167">
        <f>COUNTIF('一覧表'!$U$13:$U$37,"男少110mYH")</f>
        <v>0</v>
      </c>
      <c r="S15" s="167">
        <f>COUNTIF('一覧表'!$V$13:$V$37,"男少110mYH")</f>
        <v>0</v>
      </c>
      <c r="T15" s="168">
        <f t="shared" si="2"/>
        <v>0</v>
      </c>
      <c r="U15" s="167">
        <f>COUNTIF('一覧表'!$U$13:$U$37,"女100mH")</f>
        <v>0</v>
      </c>
      <c r="V15" s="167">
        <f>COUNTIF('一覧表'!$V$13:$V$37,"女100mH")</f>
        <v>0</v>
      </c>
      <c r="W15" s="168">
        <f t="shared" si="3"/>
        <v>0</v>
      </c>
      <c r="X15" s="1" t="s">
        <v>108</v>
      </c>
      <c r="Y15" s="1" t="s">
        <v>85</v>
      </c>
    </row>
    <row r="16" spans="1:25" s="55" customFormat="1" ht="14.25">
      <c r="A16" s="49">
        <v>9</v>
      </c>
      <c r="B16" s="50">
        <v>12</v>
      </c>
      <c r="C16" s="169" t="e">
        <f>VLOOKUP(B16,B$41:C$43,2,TRUE)</f>
        <v>#N/A</v>
      </c>
      <c r="D16" s="50">
        <v>9</v>
      </c>
      <c r="E16" s="52" t="s">
        <v>44</v>
      </c>
      <c r="F16" s="53" t="s">
        <v>50</v>
      </c>
      <c r="G16" s="170">
        <f t="shared" si="0"/>
      </c>
      <c r="H16" s="54"/>
      <c r="I16" s="49">
        <v>9</v>
      </c>
      <c r="J16" s="56"/>
      <c r="K16" s="51"/>
      <c r="L16" s="50"/>
      <c r="M16" s="52" t="s">
        <v>122</v>
      </c>
      <c r="N16" s="53" t="s">
        <v>118</v>
      </c>
      <c r="O16" s="170">
        <f t="shared" si="1"/>
      </c>
      <c r="R16" s="167">
        <f>COUNTIF('一覧表'!$U$13:$U$37,"男400mH")</f>
        <v>0</v>
      </c>
      <c r="S16" s="167">
        <f>COUNTIF('一覧表'!$V$13:$V$37,"男400mH")</f>
        <v>0</v>
      </c>
      <c r="T16" s="168">
        <f t="shared" si="2"/>
        <v>0</v>
      </c>
      <c r="U16" s="167">
        <f>COUNTIF('一覧表'!$U$13:$U$37,"女少B100mYH")</f>
        <v>0</v>
      </c>
      <c r="V16" s="167">
        <f>COUNTIF('一覧表'!$V$13:$V$37,"女少B100mYH")</f>
        <v>0</v>
      </c>
      <c r="W16" s="168">
        <f t="shared" si="3"/>
        <v>0</v>
      </c>
      <c r="X16" s="1" t="s">
        <v>86</v>
      </c>
      <c r="Y16" s="1" t="s">
        <v>116</v>
      </c>
    </row>
    <row r="17" spans="1:25" s="55" customFormat="1" ht="14.25">
      <c r="A17" s="49">
        <v>10</v>
      </c>
      <c r="B17" s="50">
        <v>12</v>
      </c>
      <c r="C17" s="169" t="e">
        <f>VLOOKUP(B17,B$41:C$43,2,TRUE)</f>
        <v>#N/A</v>
      </c>
      <c r="D17" s="50">
        <v>3</v>
      </c>
      <c r="E17" s="52" t="s">
        <v>48</v>
      </c>
      <c r="F17" s="53" t="s">
        <v>51</v>
      </c>
      <c r="G17" s="170">
        <f t="shared" si="0"/>
      </c>
      <c r="H17" s="54"/>
      <c r="I17" s="49">
        <v>10</v>
      </c>
      <c r="J17" s="56">
        <v>11</v>
      </c>
      <c r="K17" s="51" t="s">
        <v>42</v>
      </c>
      <c r="L17" s="50">
        <v>3</v>
      </c>
      <c r="M17" s="52" t="s">
        <v>44</v>
      </c>
      <c r="N17" s="53" t="s">
        <v>50</v>
      </c>
      <c r="O17" s="170">
        <f t="shared" si="1"/>
      </c>
      <c r="R17" s="167">
        <f>COUNTIF('一覧表'!$U$13:$U$37,"男3000mSC")</f>
        <v>0</v>
      </c>
      <c r="S17" s="167">
        <f>COUNTIF('一覧表'!$V$13:$V$37,"男3000mSC")</f>
        <v>0</v>
      </c>
      <c r="T17" s="168">
        <f t="shared" si="2"/>
        <v>0</v>
      </c>
      <c r="U17" s="167">
        <f>COUNTIF('一覧表'!$U$13:$U$37,"女400mH")</f>
        <v>0</v>
      </c>
      <c r="V17" s="167">
        <f>COUNTIF('一覧表'!$V$13:$V$37,"女400mH")</f>
        <v>0</v>
      </c>
      <c r="W17" s="168">
        <f t="shared" si="3"/>
        <v>0</v>
      </c>
      <c r="X17" s="1" t="s">
        <v>87</v>
      </c>
      <c r="Y17" s="1" t="s">
        <v>130</v>
      </c>
    </row>
    <row r="18" spans="1:25" s="55" customFormat="1" ht="14.25">
      <c r="A18" s="49">
        <v>11</v>
      </c>
      <c r="B18" s="50">
        <v>12</v>
      </c>
      <c r="C18" s="169" t="e">
        <f>VLOOKUP(B18,#REF!,2,TRUE)</f>
        <v>#REF!</v>
      </c>
      <c r="D18" s="50">
        <v>6</v>
      </c>
      <c r="E18" s="52" t="s">
        <v>47</v>
      </c>
      <c r="F18" s="53" t="s">
        <v>53</v>
      </c>
      <c r="G18" s="170">
        <f t="shared" si="0"/>
      </c>
      <c r="H18" s="54"/>
      <c r="I18" s="49">
        <v>11</v>
      </c>
      <c r="J18" s="56">
        <v>11</v>
      </c>
      <c r="K18" s="51" t="s">
        <v>42</v>
      </c>
      <c r="L18" s="50">
        <v>6</v>
      </c>
      <c r="M18" s="52" t="s">
        <v>47</v>
      </c>
      <c r="N18" s="53" t="s">
        <v>52</v>
      </c>
      <c r="O18" s="170">
        <f t="shared" si="1"/>
      </c>
      <c r="R18" s="167">
        <f>COUNTIF('一覧表'!$U$13:$U$37,"男5000mW")</f>
        <v>0</v>
      </c>
      <c r="S18" s="167">
        <f>COUNTIF('一覧表'!$V$13:$V$37,"男5000mW")</f>
        <v>0</v>
      </c>
      <c r="T18" s="168">
        <f t="shared" si="2"/>
        <v>0</v>
      </c>
      <c r="U18" s="167">
        <f>COUNTIF('一覧表'!$U$13:$U$37,"女5000mW")</f>
        <v>0</v>
      </c>
      <c r="V18" s="167">
        <f>COUNTIF('一覧表'!$V$13:$V$37,"女5000mW")</f>
        <v>0</v>
      </c>
      <c r="W18" s="168">
        <f t="shared" si="3"/>
        <v>0</v>
      </c>
      <c r="X18" s="1" t="s">
        <v>127</v>
      </c>
      <c r="Y18" s="1" t="s">
        <v>131</v>
      </c>
    </row>
    <row r="19" spans="1:25" s="55" customFormat="1" ht="14.25">
      <c r="A19" s="49">
        <v>12</v>
      </c>
      <c r="B19" s="50">
        <v>12</v>
      </c>
      <c r="C19" s="169" t="e">
        <f>VLOOKUP(B19,#REF!,2,TRUE)</f>
        <v>#REF!</v>
      </c>
      <c r="D19" s="50">
        <v>7</v>
      </c>
      <c r="E19" s="52" t="s">
        <v>54</v>
      </c>
      <c r="F19" s="53" t="s">
        <v>119</v>
      </c>
      <c r="G19" s="170">
        <f t="shared" si="0"/>
      </c>
      <c r="H19" s="54"/>
      <c r="I19" s="49">
        <v>12</v>
      </c>
      <c r="J19" s="56">
        <v>11</v>
      </c>
      <c r="K19" s="51" t="s">
        <v>42</v>
      </c>
      <c r="L19" s="50">
        <v>21</v>
      </c>
      <c r="M19" s="52" t="s">
        <v>54</v>
      </c>
      <c r="N19" s="53" t="s">
        <v>119</v>
      </c>
      <c r="O19" s="170">
        <f t="shared" si="1"/>
      </c>
      <c r="R19" s="167">
        <f>COUNTIF('一覧表'!$U$13:$U$37,"男走高跳A")</f>
        <v>0</v>
      </c>
      <c r="S19" s="167">
        <f>COUNTIF('一覧表'!$V$13:$V$37,"男走高跳A")</f>
        <v>0</v>
      </c>
      <c r="T19" s="168">
        <f t="shared" si="2"/>
        <v>0</v>
      </c>
      <c r="U19" s="167">
        <f>COUNTIF('一覧表'!$U$13:$U$37,"女走高跳A")</f>
        <v>0</v>
      </c>
      <c r="V19" s="167">
        <f>COUNTIF('一覧表'!$V$13:$V$37,"女走高跳A")</f>
        <v>0</v>
      </c>
      <c r="W19" s="168">
        <f t="shared" si="3"/>
        <v>0</v>
      </c>
      <c r="X19" s="1" t="s">
        <v>109</v>
      </c>
      <c r="Y19" s="1" t="s">
        <v>109</v>
      </c>
    </row>
    <row r="20" spans="1:25" s="55" customFormat="1" ht="14.25">
      <c r="A20" s="49">
        <v>13</v>
      </c>
      <c r="B20" s="50"/>
      <c r="C20" s="51"/>
      <c r="D20" s="50"/>
      <c r="E20" s="52" t="s">
        <v>54</v>
      </c>
      <c r="F20" s="53" t="s">
        <v>120</v>
      </c>
      <c r="G20" s="170">
        <f t="shared" si="0"/>
      </c>
      <c r="H20" s="54"/>
      <c r="I20" s="49">
        <v>13</v>
      </c>
      <c r="J20" s="56">
        <v>11</v>
      </c>
      <c r="K20" s="51" t="s">
        <v>42</v>
      </c>
      <c r="L20" s="50">
        <v>23</v>
      </c>
      <c r="M20" s="52" t="s">
        <v>54</v>
      </c>
      <c r="N20" s="53" t="s">
        <v>120</v>
      </c>
      <c r="O20" s="170">
        <f t="shared" si="1"/>
      </c>
      <c r="R20" s="167">
        <f>COUNTIF('一覧表'!$U$13:$U$37,"男走高跳B")</f>
        <v>0</v>
      </c>
      <c r="S20" s="167">
        <f>COUNTIF('一覧表'!$V$13:$V$37,"男走高跳B")</f>
        <v>0</v>
      </c>
      <c r="T20" s="168">
        <f t="shared" si="2"/>
        <v>0</v>
      </c>
      <c r="U20" s="167">
        <f>COUNTIF('一覧表'!$U$13:$U$37,"女走高跳B")</f>
        <v>0</v>
      </c>
      <c r="V20" s="167">
        <f>COUNTIF('一覧表'!$V$13:$V$37,"女走高跳B")</f>
        <v>0</v>
      </c>
      <c r="W20" s="168">
        <f t="shared" si="3"/>
        <v>0</v>
      </c>
      <c r="X20" s="1" t="s">
        <v>110</v>
      </c>
      <c r="Y20" s="1" t="s">
        <v>110</v>
      </c>
    </row>
    <row r="21" spans="1:25" s="55" customFormat="1" ht="14.25">
      <c r="A21" s="49">
        <v>14</v>
      </c>
      <c r="B21" s="50"/>
      <c r="C21" s="51"/>
      <c r="D21" s="50"/>
      <c r="E21" s="52" t="s">
        <v>121</v>
      </c>
      <c r="F21" s="53" t="s">
        <v>119</v>
      </c>
      <c r="G21" s="170">
        <f t="shared" si="0"/>
      </c>
      <c r="H21" s="54"/>
      <c r="I21" s="49">
        <v>14</v>
      </c>
      <c r="J21" s="56">
        <v>11</v>
      </c>
      <c r="K21" s="51" t="s">
        <v>42</v>
      </c>
      <c r="L21" s="50">
        <v>24</v>
      </c>
      <c r="M21" s="52" t="s">
        <v>121</v>
      </c>
      <c r="N21" s="53"/>
      <c r="O21" s="170">
        <f t="shared" si="1"/>
      </c>
      <c r="R21" s="167">
        <f>COUNTIF('一覧表'!$U$13:$U$37,"男棒高跳A")</f>
        <v>0</v>
      </c>
      <c r="S21" s="167">
        <f>COUNTIF('一覧表'!$V$13:$V$37,"男棒高跳A")</f>
        <v>0</v>
      </c>
      <c r="T21" s="168">
        <f t="shared" si="2"/>
        <v>0</v>
      </c>
      <c r="U21" s="167">
        <f>COUNTIF('一覧表'!$U$13:$U$37,"女棒高跳")</f>
        <v>0</v>
      </c>
      <c r="V21" s="167">
        <f>COUNTIF('一覧表'!$V$13:$V$37,"女棒高跳")</f>
        <v>0</v>
      </c>
      <c r="W21" s="168">
        <f t="shared" si="3"/>
        <v>0</v>
      </c>
      <c r="X21" s="1" t="s">
        <v>111</v>
      </c>
      <c r="Y21" s="1" t="s">
        <v>132</v>
      </c>
    </row>
    <row r="22" spans="1:25" s="55" customFormat="1" ht="14.25">
      <c r="A22" s="49">
        <v>15</v>
      </c>
      <c r="B22" s="50"/>
      <c r="C22" s="51"/>
      <c r="D22" s="50"/>
      <c r="E22" s="52" t="s">
        <v>121</v>
      </c>
      <c r="F22" s="53" t="s">
        <v>120</v>
      </c>
      <c r="G22" s="170">
        <f t="shared" si="0"/>
      </c>
      <c r="H22" s="54"/>
      <c r="I22" s="49">
        <v>15</v>
      </c>
      <c r="J22" s="56"/>
      <c r="K22" s="51"/>
      <c r="L22" s="50"/>
      <c r="M22" s="52" t="s">
        <v>55</v>
      </c>
      <c r="N22" s="53"/>
      <c r="O22" s="170">
        <f t="shared" si="1"/>
      </c>
      <c r="R22" s="167">
        <f>COUNTIF('一覧表'!$U$13:$U$37,"男棒高跳B")</f>
        <v>0</v>
      </c>
      <c r="S22" s="167">
        <f>COUNTIF('一覧表'!$V$13:$V$37,"男棒高跳B")</f>
        <v>0</v>
      </c>
      <c r="T22" s="168">
        <f t="shared" si="2"/>
        <v>0</v>
      </c>
      <c r="U22" s="167">
        <f>COUNTIF('一覧表'!$U$13:$U$37,"女走幅跳")</f>
        <v>0</v>
      </c>
      <c r="V22" s="167">
        <f>COUNTIF('一覧表'!$V$13:$V$37,"女走幅跳")</f>
        <v>0</v>
      </c>
      <c r="W22" s="168">
        <f t="shared" si="3"/>
        <v>0</v>
      </c>
      <c r="X22" s="1" t="s">
        <v>112</v>
      </c>
      <c r="Y22" s="1" t="s">
        <v>89</v>
      </c>
    </row>
    <row r="23" spans="1:25" s="55" customFormat="1" ht="14.25">
      <c r="A23" s="49">
        <v>16</v>
      </c>
      <c r="B23" s="50">
        <v>12</v>
      </c>
      <c r="C23" s="169" t="e">
        <f>VLOOKUP(B23,B$38:C$43,2,TRUE)</f>
        <v>#N/A</v>
      </c>
      <c r="D23" s="50">
        <v>23</v>
      </c>
      <c r="E23" s="52" t="s">
        <v>55</v>
      </c>
      <c r="F23" s="53"/>
      <c r="G23" s="170">
        <f t="shared" si="0"/>
      </c>
      <c r="H23" s="54"/>
      <c r="I23" s="49">
        <v>16</v>
      </c>
      <c r="J23" s="56">
        <v>11</v>
      </c>
      <c r="K23" s="51" t="s">
        <v>42</v>
      </c>
      <c r="L23" s="50">
        <v>25</v>
      </c>
      <c r="M23" s="52" t="s">
        <v>57</v>
      </c>
      <c r="N23" s="53"/>
      <c r="O23" s="170">
        <f t="shared" si="1"/>
      </c>
      <c r="R23" s="167">
        <f>COUNTIF('一覧表'!$U$13:$U$37,"男走幅跳")</f>
        <v>0</v>
      </c>
      <c r="S23" s="167">
        <f>COUNTIF('一覧表'!$V$13:$V$37,"男走幅跳")</f>
        <v>0</v>
      </c>
      <c r="T23" s="168">
        <f t="shared" si="2"/>
        <v>0</v>
      </c>
      <c r="U23" s="167">
        <f>COUNTIF('一覧表'!$U$13:$U$37,"女砲丸投")</f>
        <v>0</v>
      </c>
      <c r="V23" s="167">
        <f>COUNTIF('一覧表'!$V$13:$V$37,"女砲丸投")</f>
        <v>0</v>
      </c>
      <c r="W23" s="168">
        <f t="shared" si="3"/>
        <v>0</v>
      </c>
      <c r="X23" s="1" t="s">
        <v>89</v>
      </c>
      <c r="Y23" s="1" t="s">
        <v>90</v>
      </c>
    </row>
    <row r="24" spans="1:25" s="55" customFormat="1" ht="14.25">
      <c r="A24" s="49">
        <v>17</v>
      </c>
      <c r="B24" s="50">
        <v>12</v>
      </c>
      <c r="C24" s="169" t="e">
        <f>VLOOKUP(B24,#REF!,2,TRUE)</f>
        <v>#REF!</v>
      </c>
      <c r="D24" s="50">
        <v>24</v>
      </c>
      <c r="E24" s="52" t="s">
        <v>56</v>
      </c>
      <c r="F24" s="53" t="s">
        <v>119</v>
      </c>
      <c r="G24" s="170">
        <f t="shared" si="0"/>
      </c>
      <c r="H24" s="54"/>
      <c r="I24" s="49">
        <v>17</v>
      </c>
      <c r="J24" s="56">
        <v>11</v>
      </c>
      <c r="K24" s="51" t="s">
        <v>42</v>
      </c>
      <c r="L24" s="50">
        <v>26</v>
      </c>
      <c r="M24" s="52" t="s">
        <v>58</v>
      </c>
      <c r="N24" s="53"/>
      <c r="O24" s="170">
        <f t="shared" si="1"/>
      </c>
      <c r="R24" s="167">
        <f>COUNTIF('一覧表'!$U$13:$U$37,"男三段跳A")</f>
        <v>0</v>
      </c>
      <c r="S24" s="167">
        <f>COUNTIF('一覧表'!$V$13:$V$37,"男三段跳A")</f>
        <v>0</v>
      </c>
      <c r="T24" s="168">
        <f t="shared" si="2"/>
        <v>0</v>
      </c>
      <c r="U24" s="167">
        <f>COUNTIF('一覧表'!$U$13:$U$37,"女円盤投")</f>
        <v>0</v>
      </c>
      <c r="V24" s="167">
        <f>COUNTIF('一覧表'!$V$13:$V$37,"女円盤投")</f>
        <v>0</v>
      </c>
      <c r="W24" s="168">
        <f t="shared" si="3"/>
        <v>0</v>
      </c>
      <c r="X24" s="1" t="s">
        <v>113</v>
      </c>
      <c r="Y24" s="1" t="s">
        <v>91</v>
      </c>
    </row>
    <row r="25" spans="1:25" s="55" customFormat="1" ht="14.25">
      <c r="A25" s="49">
        <v>18</v>
      </c>
      <c r="B25" s="50"/>
      <c r="C25" s="51"/>
      <c r="D25" s="50"/>
      <c r="E25" s="52" t="s">
        <v>56</v>
      </c>
      <c r="F25" s="53" t="s">
        <v>120</v>
      </c>
      <c r="G25" s="170">
        <f t="shared" si="0"/>
      </c>
      <c r="H25" s="54"/>
      <c r="I25" s="49">
        <v>18</v>
      </c>
      <c r="J25" s="50">
        <v>11</v>
      </c>
      <c r="K25" s="51" t="s">
        <v>42</v>
      </c>
      <c r="L25" s="50">
        <v>27</v>
      </c>
      <c r="M25" s="52" t="s">
        <v>60</v>
      </c>
      <c r="N25" s="53"/>
      <c r="O25" s="170">
        <f t="shared" si="1"/>
      </c>
      <c r="R25" s="167">
        <f>COUNTIF('一覧表'!$U$13:$U$37,"男三段跳B")</f>
        <v>0</v>
      </c>
      <c r="S25" s="167">
        <f>COUNTIF('一覧表'!$V$13:$V$37,"男三段跳B")</f>
        <v>0</v>
      </c>
      <c r="T25" s="168">
        <f t="shared" si="2"/>
        <v>0</v>
      </c>
      <c r="U25" s="167">
        <f>COUNTIF('一覧表'!$U$13:$U$37,"女ﾊﾝﾏｰ投")</f>
        <v>0</v>
      </c>
      <c r="V25" s="167">
        <f>COUNTIF('一覧表'!$V$13:$V$37,"女ﾊﾝﾏｰ投")</f>
        <v>0</v>
      </c>
      <c r="W25" s="168">
        <f t="shared" si="3"/>
        <v>0</v>
      </c>
      <c r="X25" s="1" t="s">
        <v>114</v>
      </c>
      <c r="Y25" s="1" t="s">
        <v>93</v>
      </c>
    </row>
    <row r="26" spans="1:25" s="55" customFormat="1" ht="15" thickBot="1">
      <c r="A26" s="49">
        <v>19</v>
      </c>
      <c r="B26" s="50">
        <v>12</v>
      </c>
      <c r="C26" s="169" t="e">
        <f>VLOOKUP(B26,#REF!,2,TRUE)</f>
        <v>#REF!</v>
      </c>
      <c r="D26" s="50">
        <v>25</v>
      </c>
      <c r="E26" s="52" t="s">
        <v>128</v>
      </c>
      <c r="F26" s="53"/>
      <c r="G26" s="170">
        <f t="shared" si="0"/>
      </c>
      <c r="H26" s="54"/>
      <c r="I26" s="49">
        <v>19</v>
      </c>
      <c r="J26" s="57">
        <v>11</v>
      </c>
      <c r="K26" s="58" t="s">
        <v>42</v>
      </c>
      <c r="L26" s="57">
        <v>28</v>
      </c>
      <c r="M26" s="59" t="s">
        <v>62</v>
      </c>
      <c r="N26" s="60"/>
      <c r="O26" s="171">
        <f t="shared" si="1"/>
      </c>
      <c r="R26" s="167">
        <f>COUNTIF('一覧表'!$U$13:$U$37,"男砲丸投")</f>
        <v>0</v>
      </c>
      <c r="S26" s="167">
        <f>COUNTIF('一覧表'!$V$13:$V$37,"男砲丸投")</f>
        <v>0</v>
      </c>
      <c r="T26" s="168">
        <f t="shared" si="2"/>
        <v>0</v>
      </c>
      <c r="U26" s="167">
        <f>COUNTIF('一覧表'!$U$13:$U$37,"女やり投")</f>
        <v>0</v>
      </c>
      <c r="V26" s="167">
        <f>COUNTIF('一覧表'!$V$13:$V$37,"女やり投")</f>
        <v>0</v>
      </c>
      <c r="W26" s="168">
        <f t="shared" si="3"/>
        <v>0</v>
      </c>
      <c r="X26" s="1" t="s">
        <v>90</v>
      </c>
      <c r="Y26" s="1" t="s">
        <v>94</v>
      </c>
    </row>
    <row r="27" spans="1:25" s="55" customFormat="1" ht="15" thickBot="1">
      <c r="A27" s="49">
        <v>20</v>
      </c>
      <c r="B27" s="50"/>
      <c r="C27" s="51"/>
      <c r="D27" s="50"/>
      <c r="E27" s="52" t="s">
        <v>59</v>
      </c>
      <c r="F27" s="53"/>
      <c r="G27" s="170">
        <f t="shared" si="0"/>
      </c>
      <c r="H27" s="54"/>
      <c r="I27" s="61"/>
      <c r="J27" s="62"/>
      <c r="K27" s="63"/>
      <c r="L27" s="64"/>
      <c r="M27" s="65" t="s">
        <v>64</v>
      </c>
      <c r="N27" s="66"/>
      <c r="O27" s="172">
        <f>SUM(O8:O26)</f>
        <v>0</v>
      </c>
      <c r="R27" s="167">
        <f>COUNTIF('一覧表'!$U$13:$U$37,"男高校砲丸投")</f>
        <v>0</v>
      </c>
      <c r="S27" s="167">
        <f>COUNTIF('一覧表'!$V$13:$V$37,"男高校砲丸投")</f>
        <v>0</v>
      </c>
      <c r="T27" s="168">
        <f t="shared" si="2"/>
        <v>0</v>
      </c>
      <c r="X27" s="1" t="s">
        <v>92</v>
      </c>
      <c r="Y27" s="1"/>
    </row>
    <row r="28" spans="1:25" s="55" customFormat="1" ht="14.25">
      <c r="A28" s="49">
        <v>21</v>
      </c>
      <c r="B28" s="50"/>
      <c r="C28" s="51"/>
      <c r="D28" s="50"/>
      <c r="E28" s="52" t="s">
        <v>129</v>
      </c>
      <c r="F28" s="53"/>
      <c r="G28" s="170">
        <f t="shared" si="0"/>
      </c>
      <c r="H28" s="54"/>
      <c r="I28" s="49">
        <v>1</v>
      </c>
      <c r="J28" s="50">
        <v>11</v>
      </c>
      <c r="K28" s="51" t="s">
        <v>42</v>
      </c>
      <c r="L28" s="50">
        <v>10</v>
      </c>
      <c r="M28" s="52" t="s">
        <v>66</v>
      </c>
      <c r="N28" s="53"/>
      <c r="O28" s="170">
        <f>IF('一覧表'!Y38=0,"",1)</f>
      </c>
      <c r="R28" s="167">
        <f>COUNTIF('一覧表'!$U$13:$U$37,"男少B砲丸投")</f>
        <v>0</v>
      </c>
      <c r="S28" s="167">
        <f>COUNTIF('一覧表'!$V$13:$V$37,"男少B砲丸投")</f>
        <v>0</v>
      </c>
      <c r="T28" s="168">
        <f t="shared" si="2"/>
        <v>0</v>
      </c>
      <c r="X28" s="1" t="s">
        <v>115</v>
      </c>
      <c r="Y28" s="1"/>
    </row>
    <row r="29" spans="1:25" s="55" customFormat="1" ht="15" thickBot="1">
      <c r="A29" s="49">
        <v>22</v>
      </c>
      <c r="B29" s="50">
        <v>12</v>
      </c>
      <c r="C29" s="169" t="e">
        <f>VLOOKUP(B29,B$38:C$43,2,TRUE)</f>
        <v>#N/A</v>
      </c>
      <c r="D29" s="50">
        <v>26</v>
      </c>
      <c r="E29" s="52" t="s">
        <v>61</v>
      </c>
      <c r="F29" s="53"/>
      <c r="G29" s="170">
        <f t="shared" si="0"/>
      </c>
      <c r="H29" s="54"/>
      <c r="I29" s="49">
        <v>2</v>
      </c>
      <c r="J29" s="50">
        <v>11</v>
      </c>
      <c r="K29" s="51" t="s">
        <v>42</v>
      </c>
      <c r="L29" s="50">
        <v>15</v>
      </c>
      <c r="M29" s="52" t="s">
        <v>68</v>
      </c>
      <c r="N29" s="53"/>
      <c r="O29" s="170">
        <f>IF('一覧表'!Z38=0,"",1)</f>
      </c>
      <c r="R29" s="167">
        <f>COUNTIF('一覧表'!$U$13:$U$37,"男円盤投")</f>
        <v>0</v>
      </c>
      <c r="S29" s="167">
        <f>COUNTIF('一覧表'!$V$13:$V$37,"男円盤投")</f>
        <v>0</v>
      </c>
      <c r="T29" s="168">
        <f t="shared" si="2"/>
        <v>0</v>
      </c>
      <c r="X29" s="1" t="s">
        <v>91</v>
      </c>
      <c r="Y29" s="1"/>
    </row>
    <row r="30" spans="1:25" s="55" customFormat="1" ht="15" thickBot="1">
      <c r="A30" s="49">
        <v>23</v>
      </c>
      <c r="B30" s="50"/>
      <c r="C30" s="51"/>
      <c r="D30" s="50"/>
      <c r="E30" s="52" t="s">
        <v>63</v>
      </c>
      <c r="F30" s="53"/>
      <c r="G30" s="170">
        <f t="shared" si="0"/>
      </c>
      <c r="H30" s="54"/>
      <c r="I30" s="61"/>
      <c r="J30" s="62"/>
      <c r="K30" s="63"/>
      <c r="L30" s="64"/>
      <c r="M30" s="67" t="s">
        <v>69</v>
      </c>
      <c r="N30" s="66"/>
      <c r="O30" s="172">
        <f>SUM(O28:O29)</f>
        <v>0</v>
      </c>
      <c r="R30" s="167">
        <f>COUNTIF('一覧表'!$U$13:$U$37,"男高校円盤投")</f>
        <v>0</v>
      </c>
      <c r="S30" s="167">
        <f>COUNTIF('一覧表'!$V$13:$V$37,"男高校円盤投")</f>
        <v>0</v>
      </c>
      <c r="T30" s="168">
        <f t="shared" si="2"/>
        <v>0</v>
      </c>
      <c r="X30" s="1" t="s">
        <v>95</v>
      </c>
      <c r="Y30" s="1"/>
    </row>
    <row r="31" spans="1:25" s="55" customFormat="1" ht="14.25" customHeight="1">
      <c r="A31" s="49">
        <v>24</v>
      </c>
      <c r="B31" s="50">
        <v>12</v>
      </c>
      <c r="C31" s="169" t="e">
        <f>VLOOKUP(B31,B$38:C$43,2,TRUE)</f>
        <v>#N/A</v>
      </c>
      <c r="D31" s="50">
        <v>27</v>
      </c>
      <c r="E31" s="52" t="s">
        <v>65</v>
      </c>
      <c r="F31" s="53"/>
      <c r="G31" s="170">
        <f t="shared" si="0"/>
      </c>
      <c r="H31" s="54"/>
      <c r="I31" s="85"/>
      <c r="J31" s="85"/>
      <c r="K31" s="85"/>
      <c r="L31" s="109"/>
      <c r="M31" s="110"/>
      <c r="N31" s="111"/>
      <c r="O31" s="109"/>
      <c r="R31" s="167">
        <f>COUNTIF('一覧表'!$U$13:$U$37,"男ﾊﾝﾏｰ投")</f>
        <v>0</v>
      </c>
      <c r="S31" s="167">
        <f>COUNTIF('一覧表'!$V$13:$V$37,"男ﾊﾝﾏｰ投")</f>
        <v>0</v>
      </c>
      <c r="T31" s="168">
        <f t="shared" si="2"/>
        <v>0</v>
      </c>
      <c r="X31" s="1" t="s">
        <v>93</v>
      </c>
      <c r="Y31" s="1"/>
    </row>
    <row r="32" spans="1:25" s="55" customFormat="1" ht="14.25" customHeight="1">
      <c r="A32" s="49">
        <v>25</v>
      </c>
      <c r="B32" s="57"/>
      <c r="C32" s="58"/>
      <c r="D32" s="57"/>
      <c r="E32" s="59" t="s">
        <v>67</v>
      </c>
      <c r="F32" s="60"/>
      <c r="G32" s="171">
        <f t="shared" si="0"/>
      </c>
      <c r="H32" s="54"/>
      <c r="R32" s="167">
        <f>COUNTIF('一覧表'!$U$13:$U$37,"男高校ﾊﾝﾏｰ投")</f>
        <v>0</v>
      </c>
      <c r="S32" s="167">
        <f>COUNTIF('一覧表'!$V$13:$V$37,"男高校ﾊﾝﾏｰ投")</f>
        <v>0</v>
      </c>
      <c r="T32" s="168">
        <f t="shared" si="2"/>
        <v>0</v>
      </c>
      <c r="X32" s="1" t="s">
        <v>96</v>
      </c>
      <c r="Y32" s="1"/>
    </row>
    <row r="33" spans="1:25" s="55" customFormat="1" ht="14.25" customHeight="1" thickBot="1">
      <c r="A33" s="49">
        <v>26</v>
      </c>
      <c r="B33" s="57">
        <v>12</v>
      </c>
      <c r="C33" s="173" t="e">
        <f>VLOOKUP(B33,#REF!,2,TRUE)</f>
        <v>#REF!</v>
      </c>
      <c r="D33" s="57">
        <v>28</v>
      </c>
      <c r="E33" s="59" t="s">
        <v>62</v>
      </c>
      <c r="F33" s="60"/>
      <c r="G33" s="171">
        <f t="shared" si="0"/>
      </c>
      <c r="H33" s="54"/>
      <c r="I33" s="71"/>
      <c r="J33" s="72"/>
      <c r="K33" s="72"/>
      <c r="L33" s="73"/>
      <c r="M33" s="74"/>
      <c r="N33" s="73"/>
      <c r="O33" s="73"/>
      <c r="R33" s="167">
        <f>COUNTIF('一覧表'!$U$13:$U$37,"男やり投")</f>
        <v>0</v>
      </c>
      <c r="S33" s="167">
        <f>COUNTIF('一覧表'!$V$13:$V$37,"男やり投")</f>
        <v>0</v>
      </c>
      <c r="T33" s="168">
        <f t="shared" si="2"/>
        <v>0</v>
      </c>
      <c r="X33" s="1" t="s">
        <v>94</v>
      </c>
      <c r="Y33" s="1"/>
    </row>
    <row r="34" spans="1:25" s="55" customFormat="1" ht="14.25" customHeight="1" thickBot="1">
      <c r="A34" s="61"/>
      <c r="B34" s="68"/>
      <c r="C34" s="68"/>
      <c r="D34" s="68"/>
      <c r="E34" s="69" t="s">
        <v>64</v>
      </c>
      <c r="F34" s="70"/>
      <c r="G34" s="174">
        <f>SUM(G8:G33)</f>
        <v>0</v>
      </c>
      <c r="H34" s="85"/>
      <c r="I34" s="75"/>
      <c r="J34" s="76"/>
      <c r="K34" s="76"/>
      <c r="L34" s="37"/>
      <c r="M34" s="243" t="s">
        <v>141</v>
      </c>
      <c r="N34" s="244"/>
      <c r="O34" s="244"/>
      <c r="X34" s="1"/>
      <c r="Y34" s="1"/>
    </row>
    <row r="35" spans="1:15" s="55" customFormat="1" ht="14.25" customHeight="1">
      <c r="A35" s="49">
        <v>1</v>
      </c>
      <c r="B35" s="50">
        <v>12</v>
      </c>
      <c r="C35" s="169" t="e">
        <f>VLOOKUP(B35,B$41:C$43,2,TRUE)</f>
        <v>#N/A</v>
      </c>
      <c r="D35" s="50">
        <v>10</v>
      </c>
      <c r="E35" s="52" t="s">
        <v>66</v>
      </c>
      <c r="F35" s="53"/>
      <c r="G35" s="175">
        <f>IF('一覧表'!W38=0,"",1)</f>
      </c>
      <c r="H35" s="54"/>
      <c r="I35" s="75"/>
      <c r="J35" s="76"/>
      <c r="K35" s="76"/>
      <c r="L35" s="37"/>
      <c r="M35" s="244"/>
      <c r="N35" s="244"/>
      <c r="O35" s="244"/>
    </row>
    <row r="36" spans="1:15" s="55" customFormat="1" ht="14.25" customHeight="1" thickBot="1">
      <c r="A36" s="49">
        <v>2</v>
      </c>
      <c r="B36" s="50">
        <v>12</v>
      </c>
      <c r="C36" s="169" t="e">
        <f>VLOOKUP(B36,#REF!,2,TRUE)</f>
        <v>#REF!</v>
      </c>
      <c r="D36" s="50">
        <v>15</v>
      </c>
      <c r="E36" s="52" t="s">
        <v>68</v>
      </c>
      <c r="F36" s="53"/>
      <c r="G36" s="175">
        <f>IF('一覧表'!X38=0,"",1)</f>
      </c>
      <c r="H36" s="54"/>
      <c r="I36" s="75"/>
      <c r="J36" s="76"/>
      <c r="K36" s="76"/>
      <c r="L36" s="37"/>
      <c r="M36" s="244"/>
      <c r="N36" s="244"/>
      <c r="O36" s="244"/>
    </row>
    <row r="37" spans="1:15" s="55" customFormat="1" ht="14.25" customHeight="1" thickBot="1">
      <c r="A37" s="61"/>
      <c r="B37" s="68"/>
      <c r="C37" s="68"/>
      <c r="D37" s="68"/>
      <c r="E37" s="67" t="s">
        <v>69</v>
      </c>
      <c r="F37" s="70"/>
      <c r="G37" s="174">
        <f>SUM(G35:G36)</f>
        <v>0</v>
      </c>
      <c r="H37" s="85"/>
      <c r="I37" s="83"/>
      <c r="J37" s="84"/>
      <c r="K37" s="84"/>
      <c r="L37" s="37"/>
      <c r="M37" s="244"/>
      <c r="N37" s="244"/>
      <c r="O37" s="244"/>
    </row>
    <row r="38" spans="1:19" s="18" customFormat="1" ht="14.25" customHeight="1">
      <c r="A38" s="77"/>
      <c r="B38" s="78"/>
      <c r="C38" s="79"/>
      <c r="D38" s="78"/>
      <c r="E38" s="80"/>
      <c r="F38" s="81"/>
      <c r="G38" s="76"/>
      <c r="H38" s="91"/>
      <c r="I38" s="83"/>
      <c r="J38" s="84"/>
      <c r="K38" s="84"/>
      <c r="L38" s="37"/>
      <c r="M38" s="244"/>
      <c r="N38" s="244"/>
      <c r="O38" s="244"/>
      <c r="P38" s="55"/>
      <c r="R38" s="55"/>
      <c r="S38" s="55"/>
    </row>
    <row r="39" spans="1:19" ht="14.25" customHeight="1">
      <c r="A39" s="77"/>
      <c r="B39" s="78"/>
      <c r="C39" s="79"/>
      <c r="D39" s="78"/>
      <c r="E39" s="80"/>
      <c r="F39" s="81"/>
      <c r="G39" s="76"/>
      <c r="H39" s="76"/>
      <c r="I39" s="83"/>
      <c r="J39" s="84"/>
      <c r="K39" s="84"/>
      <c r="L39" s="37"/>
      <c r="M39" s="82"/>
      <c r="N39" s="37"/>
      <c r="O39" s="37"/>
      <c r="P39" s="92"/>
      <c r="R39" s="18"/>
      <c r="S39" s="18"/>
    </row>
    <row r="40" spans="1:15" ht="14.25" customHeight="1">
      <c r="A40" s="77"/>
      <c r="B40" s="78"/>
      <c r="C40" s="79"/>
      <c r="D40" s="78"/>
      <c r="E40" s="80"/>
      <c r="F40" s="81"/>
      <c r="G40" s="76"/>
      <c r="H40" s="76"/>
      <c r="I40" s="83"/>
      <c r="J40" s="84"/>
      <c r="K40" s="84"/>
      <c r="L40" s="37"/>
      <c r="M40" s="82"/>
      <c r="N40" s="37"/>
      <c r="O40" s="37"/>
    </row>
    <row r="41" spans="1:15" ht="14.25" customHeight="1">
      <c r="A41" s="86"/>
      <c r="B41" s="87"/>
      <c r="C41" s="88"/>
      <c r="D41" s="87"/>
      <c r="E41" s="89"/>
      <c r="F41" s="90"/>
      <c r="G41" s="84"/>
      <c r="H41" s="76"/>
      <c r="I41" s="83"/>
      <c r="J41" s="84"/>
      <c r="K41" s="84"/>
      <c r="L41" s="37"/>
      <c r="M41" s="82"/>
      <c r="N41" s="37"/>
      <c r="O41" s="37"/>
    </row>
    <row r="42" spans="1:15" ht="14.25" customHeight="1">
      <c r="A42" s="86"/>
      <c r="B42" s="87"/>
      <c r="C42" s="88"/>
      <c r="D42" s="87"/>
      <c r="E42" s="89"/>
      <c r="F42" s="90"/>
      <c r="G42" s="84"/>
      <c r="H42" s="84"/>
      <c r="I42" s="83"/>
      <c r="J42" s="84"/>
      <c r="K42" s="84"/>
      <c r="L42" s="37"/>
      <c r="M42" s="82"/>
      <c r="N42" s="37"/>
      <c r="O42" s="37"/>
    </row>
    <row r="43" spans="1:15" ht="14.25" customHeight="1">
      <c r="A43" s="86"/>
      <c r="B43" s="87"/>
      <c r="C43" s="88"/>
      <c r="D43" s="87"/>
      <c r="E43" s="89"/>
      <c r="F43" s="90"/>
      <c r="G43" s="84"/>
      <c r="H43" s="84"/>
      <c r="I43" s="83"/>
      <c r="J43" s="84"/>
      <c r="K43" s="84"/>
      <c r="L43" s="37"/>
      <c r="M43" s="82"/>
      <c r="N43" s="37"/>
      <c r="O43" s="37"/>
    </row>
  </sheetData>
  <sheetProtection password="CD83" sheet="1" objects="1" scenarios="1"/>
  <mergeCells count="7">
    <mergeCell ref="M34:O38"/>
    <mergeCell ref="H4:O4"/>
    <mergeCell ref="A1:O1"/>
    <mergeCell ref="A2:O2"/>
    <mergeCell ref="H5:O5"/>
    <mergeCell ref="E6:G6"/>
    <mergeCell ref="M6:O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/>
  <ignoredErrors>
    <ignoredError sqref="R9 S21 S23 U9:V9 V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 masahiro</dc:creator>
  <cp:keywords/>
  <dc:description/>
  <cp:lastModifiedBy>旭丘</cp:lastModifiedBy>
  <cp:lastPrinted>2012-02-19T11:28:24Z</cp:lastPrinted>
  <dcterms:created xsi:type="dcterms:W3CDTF">2012-01-31T00:06:14Z</dcterms:created>
  <dcterms:modified xsi:type="dcterms:W3CDTF">2012-02-20T00:21:34Z</dcterms:modified>
  <cp:category/>
  <cp:version/>
  <cp:contentType/>
  <cp:contentStatus/>
</cp:coreProperties>
</file>